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734" documentId="8_{B6337239-1A00-434D-AAD0-422EA1FEB5AE}" xr6:coauthVersionLast="47" xr6:coauthVersionMax="47" xr10:uidLastSave="{8C3A61C9-60FD-4631-96F3-54E99513B1E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4" i="1" l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H127" i="1" a="1"/>
  <c r="H127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1" i="12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4" i="12" s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5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6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7" i="12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8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03" i="1" l="1"/>
  <c r="AN182" i="1"/>
  <c r="AJ182" i="1"/>
  <c r="AJ176" i="1"/>
  <c r="AJ173" i="1"/>
  <c r="L147" i="12"/>
  <c r="AN149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AN171" i="1"/>
  <c r="AN168" i="1"/>
  <c r="AN165" i="1"/>
  <c r="AN162" i="1"/>
  <c r="AN157" i="1"/>
  <c r="AN127" i="1"/>
  <c r="AN123" i="1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<sst xmlns="http://schemas.openxmlformats.org/spreadsheetml/2006/main" count="5415" uniqueCount="1474">
  <si>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</si>
  <si>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</si>
  <si>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</si>
  <si>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</si>
  <si>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</si>
  <si>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</si>
  <si>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</si>
  <si>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</si>
  <si>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</si>
  <si>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</si>
  <si>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</si>
  <si>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</si>
  <si>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</si>
  <si>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</si>
  <si>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</si>
  <si>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</si>
  <si>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</si>
  <si>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</si>
  <si>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</si>
  <si>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</si>
  <si>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</si>
  <si>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</si>
  <si>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</si>
  <si>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</si>
  <si>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</si>
  <si>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</si>
  <si>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</si>
  <si>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</si>
  <si>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</si>
  <si>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</si>
  <si>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</si>
  <si>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</si>
  <si>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</si>
  <si>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</si>
  <si>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</si>
  <si>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</si>
  <si>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</si>
  <si>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</si>
  <si>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</si>
  <si>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</si>
  <si>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</si>
  <si>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</si>
  <si>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</si>
  <si>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</si>
  <si>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</si>
  <si>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</si>
  <si>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</si>
  <si>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</si>
  <si>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</si>
  <si>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</si>
  <si>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</si>
  <si>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</si>
  <si>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</si>
  <si>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</si>
  <si>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</si>
  <si>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</si>
  <si>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</si>
  <si>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</si>
  <si>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</si>
  <si>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</si>
  <si>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</si>
  <si>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</si>
  <si>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</si>
  <si>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</si>
  <si>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</si>
  <si>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</si>
  <si>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</si>
  <si>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</si>
  <si>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</si>
  <si>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</si>
  <si>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</si>
  <si>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</si>
  <si>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</si>
  <si>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</si>
  <si>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</si>
  <si>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</si>
  <si>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</si>
  <si>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</si>
  <si>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</si>
  <si>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</si>
  <si>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</si>
  <si>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</si>
  <si>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</si>
  <si>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</si>
  <si>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</si>
  <si>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</si>
  <si>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</si>
  <si>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</si>
  <si>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</si>
  <si>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</si>
  <si>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</si>
  <si>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</si>
  <si>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</si>
  <si>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</si>
  <si>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</si>
  <si>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</si>
  <si>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</si>
  <si>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</si>
  <si>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</si>
  <si>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</si>
  <si>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</si>
  <si>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</si>
  <si>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</si>
  <si>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</si>
  <si>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</si>
  <si>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</si>
  <si>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</si>
  <si>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</si>
  <si>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</si>
  <si>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</si>
  <si>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</si>
  <si>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</si>
  <si>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</si>
  <si>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</si>
  <si>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</si>
  <si>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</si>
  <si>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</si>
  <si>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</si>
  <si>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</si>
  <si>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</si>
  <si>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</si>
  <si>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</si>
  <si>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</si>
  <si>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</si>
  <si>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</si>
  <si>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</si>
  <si>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</si>
  <si>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</si>
  <si>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</si>
  <si>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</si>
  <si>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</si>
  <si>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</si>
  <si>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</si>
  <si>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</si>
  <si>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</si>
  <si>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</si>
  <si>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</si>
  <si>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</si>
  <si>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</si>
  <si>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</si>
  <si>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</si>
  <si>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</si>
  <si>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</si>
  <si>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</si>
  <si>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</si>
  <si>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</si>
  <si>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</si>
  <si>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</si>
  <si>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</si>
  <si>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</si>
  <si>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</si>
  <si>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</si>
  <si>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</si>
  <si>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</si>
  <si>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</si>
  <si>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</si>
  <si>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</si>
  <si>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</si>
  <si>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</si>
  <si>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</si>
  <si>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</si>
  <si>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</si>
  <si>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</si>
  <si>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</si>
  <si>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</si>
  <si>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</si>
  <si>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</si>
  <si>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</si>
  <si>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</si>
  <si>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</si>
  <si>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</si>
  <si>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</si>
  <si>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</si>
  <si>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</si>
  <si>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</si>
  <si>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</si>
  <si>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</si>
  <si>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</si>
  <si>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</si>
  <si>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</si>
  <si>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</si>
  <si>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</si>
  <si>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</si>
  <si>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</si>
  <si>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</si>
  <si>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</si>
  <si>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</si>
  <si>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</si>
  <si>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</si>
  <si>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</si>
  <si>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</si>
  <si>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</si>
  <si>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</si>
  <si>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</si>
  <si>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</si>
  <si>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</si>
  <si>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</si>
  <si>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</si>
  <si>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</si>
  <si>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</si>
  <si>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</si>
  <si>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</si>
  <si>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</si>
  <si>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</si>
  <si>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</si>
  <si>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</si>
  <si>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</si>
  <si>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</si>
  <si>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</si>
  <si>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</si>
  <si>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</si>
  <si>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</si>
  <si>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</si>
  <si>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</si>
  <si>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</si>
  <si>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</si>
  <si>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</si>
  <si>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</si>
  <si>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</si>
  <si>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</si>
  <si>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</si>
  <si>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</si>
  <si>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</si>
  <si>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</si>
  <si>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</si>
  <si>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</si>
  <si>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</si>
  <si>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</si>
  <si>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</si>
  <si>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</si>
  <si>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</si>
  <si>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</si>
  <si>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</si>
  <si>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</si>
  <si>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</si>
  <si>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</si>
  <si>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</si>
  <si>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</si>
  <si>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</si>
  <si>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</si>
  <si>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</si>
  <si>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</si>
  <si>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</si>
  <si>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</si>
  <si>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</si>
  <si>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</si>
  <si>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</si>
  <si>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</si>
  <si>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</si>
  <si>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</si>
  <si>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</si>
  <si>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</si>
  <si>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</si>
  <si>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</si>
  <si>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</si>
  <si>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</si>
  <si>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</si>
  <si>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</si>
  <si>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</si>
  <si>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</si>
  <si>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</si>
  <si>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</si>
  <si>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</si>
  <si>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</si>
  <si>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</si>
  <si>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</si>
  <si>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</si>
  <si>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</si>
  <si>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</si>
  <si>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</si>
  <si>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</si>
  <si>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</si>
  <si>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</si>
  <si>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</si>
  <si>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</si>
  <si>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</si>
  <si>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</si>
  <si>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</si>
  <si>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</si>
  <si>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</si>
  <si>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</si>
  <si>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</si>
  <si>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</si>
  <si>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</si>
  <si>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</si>
  <si>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</si>
  <si>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</si>
  <si>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</si>
  <si>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</si>
  <si>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</si>
  <si>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</si>
  <si>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</si>
  <si>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</si>
  <si>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</si>
  <si>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</si>
  <si>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</si>
  <si>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</si>
  <si>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</si>
  <si>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</si>
  <si>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</si>
  <si>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</si>
  <si>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</si>
  <si>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</si>
  <si>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</si>
  <si>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</si>
  <si>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</si>
  <si>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</si>
  <si>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</si>
  <si>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</si>
  <si>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</si>
  <si>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</si>
  <si>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</si>
  <si>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</si>
  <si>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</si>
  <si>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</si>
  <si>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</si>
  <si>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</si>
  <si>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</si>
  <si>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</si>
  <si>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</si>
  <si>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</si>
  <si>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</si>
  <si>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</si>
  <si>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</si>
  <si>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</si>
  <si>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</si>
  <si>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</si>
  <si>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</si>
  <si>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</si>
  <si>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</si>
  <si>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</si>
  <si>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</si>
  <si>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</si>
  <si>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</si>
  <si>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</si>
  <si>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</si>
  <si>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</si>
  <si>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</si>
  <si>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</si>
  <si>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</si>
  <si>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</si>
  <si>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</si>
  <si>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</si>
  <si>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</si>
  <si>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</si>
  <si>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</si>
  <si>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</si>
  <si>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</si>
  <si>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</si>
  <si>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</si>
  <si>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</si>
  <si>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</si>
  <si>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</si>
  <si>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</si>
  <si>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</si>
  <si>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</si>
  <si>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</si>
  <si>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</si>
  <si>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</si>
  <si>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</si>
  <si>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</si>
  <si>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</si>
  <si>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</si>
  <si>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</si>
  <si>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</si>
  <si>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</si>
  <si>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</si>
  <si>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</si>
  <si>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</si>
  <si>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</si>
  <si>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</si>
  <si>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</si>
  <si>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</si>
  <si>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</si>
  <si>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</si>
  <si>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</si>
  <si>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</si>
  <si>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</si>
  <si>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</si>
  <si>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</si>
  <si>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</si>
  <si>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</si>
  <si>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</si>
  <si>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</si>
  <si>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</si>
  <si>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</si>
  <si>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</si>
  <si>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</si>
  <si>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</si>
  <si>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</si>
  <si>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</si>
  <si>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</si>
  <si>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</si>
  <si>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</si>
  <si>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</si>
  <si>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</si>
  <si>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</si>
  <si>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</si>
  <si>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</si>
  <si>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</si>
  <si>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</si>
  <si>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</si>
  <si>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</si>
  <si>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</si>
  <si>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</si>
  <si>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</si>
  <si>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</si>
  <si>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</si>
  <si>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</si>
  <si>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</si>
  <si>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</si>
  <si>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</si>
  <si>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</si>
  <si>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</si>
  <si>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</si>
  <si>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</si>
  <si>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</si>
  <si>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</si>
  <si>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</si>
  <si>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</si>
  <si>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</si>
  <si>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</si>
  <si>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</si>
  <si>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</si>
  <si>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</si>
  <si>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</si>
  <si>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</si>
  <si>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</si>
  <si>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</si>
  <si>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</si>
  <si>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</si>
  <si>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</si>
  <si>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</si>
  <si>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</si>
  <si>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</si>
  <si>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</si>
  <si>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</si>
  <si>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</si>
  <si>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</si>
  <si>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</si>
  <si>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</si>
  <si>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</si>
  <si>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</si>
  <si>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</si>
  <si>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</si>
  <si>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</si>
  <si>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</si>
  <si>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</si>
  <si>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</si>
  <si>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</si>
  <si>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</si>
  <si>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</si>
  <si>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</si>
  <si>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</si>
  <si>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</si>
  <si>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</si>
  <si>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</si>
  <si>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</si>
  <si>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</si>
  <si>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</si>
  <si>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</si>
  <si>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</si>
  <si>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</si>
  <si>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</si>
  <si>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</si>
  <si>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</si>
  <si>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</si>
  <si>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</si>
  <si>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</si>
  <si>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</si>
  <si>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</si>
  <si>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</si>
  <si>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</si>
  <si>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</si>
  <si>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</si>
  <si>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</si>
  <si>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</si>
  <si>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</si>
  <si>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</si>
  <si>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</si>
  <si>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</si>
  <si>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</si>
  <si>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</si>
  <si>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</si>
  <si>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</si>
  <si>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</si>
  <si>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</si>
  <si>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</si>
  <si>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</si>
  <si>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</si>
  <si>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</si>
  <si>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</si>
  <si>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</si>
  <si>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</si>
  <si>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</si>
  <si>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</si>
  <si>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</si>
  <si>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</si>
  <si>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</si>
  <si>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</si>
  <si>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</si>
  <si>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</si>
  <si>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</si>
  <si>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</si>
  <si>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</si>
  <si>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</si>
  <si>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</si>
  <si>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</si>
  <si>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</si>
  <si>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</si>
  <si>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</si>
  <si>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</si>
  <si>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</si>
  <si>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</si>
  <si>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</si>
  <si>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</si>
  <si>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</si>
  <si>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</si>
  <si>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</si>
  <si>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</si>
  <si>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</si>
  <si>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</si>
  <si>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</si>
  <si>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</si>
  <si>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</si>
  <si>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</si>
  <si>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</si>
  <si>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</si>
  <si>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</si>
  <si>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</si>
  <si>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</si>
  <si>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</si>
  <si>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</si>
  <si>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</si>
  <si>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</si>
  <si>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</si>
  <si>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</si>
  <si>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</si>
  <si>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</si>
  <si>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</si>
  <si>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</si>
  <si>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</si>
  <si>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</si>
  <si>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</si>
  <si>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</si>
  <si>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</si>
  <si>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</si>
  <si>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</si>
  <si>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</si>
  <si>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</si>
  <si>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</si>
  <si>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</si>
  <si>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</si>
  <si>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</si>
  <si>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</si>
  <si>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</si>
  <si>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</si>
  <si>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</si>
  <si>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</si>
  <si>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</si>
  <si>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</si>
  <si>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</si>
  <si>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</si>
  <si>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</si>
  <si>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</si>
  <si>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</si>
  <si>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</si>
  <si>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</si>
  <si>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</si>
  <si>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</si>
  <si>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</si>
  <si>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</si>
  <si>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</si>
  <si>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</si>
  <si>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</si>
  <si>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</si>
  <si>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</si>
  <si>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</si>
  <si>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</si>
  <si>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</si>
  <si>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</si>
  <si>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</si>
  <si>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</si>
  <si>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</si>
  <si>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</si>
  <si>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</si>
  <si>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</si>
  <si>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</si>
  <si>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</si>
  <si>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</si>
  <si>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</si>
  <si>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</si>
  <si>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</si>
  <si>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</si>
  <si>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</si>
  <si>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</si>
  <si>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</si>
  <si>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</si>
  <si>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</si>
  <si>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</si>
  <si>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</si>
  <si>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</si>
  <si>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</si>
  <si>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</si>
  <si>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</si>
  <si>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</si>
  <si>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</si>
  <si>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</si>
  <si>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</si>
  <si>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</si>
  <si>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</si>
  <si>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</si>
  <si>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</si>
  <si>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</si>
  <si>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</si>
  <si>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</si>
  <si>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</si>
  <si>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</si>
  <si>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</si>
  <si>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</si>
  <si>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</si>
  <si>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</si>
  <si>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</si>
  <si>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</si>
  <si>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</si>
  <si>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</si>
  <si>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</si>
  <si>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</si>
  <si>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</si>
  <si>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</si>
  <si>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</si>
  <si>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</si>
  <si>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</si>
  <si>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</si>
  <si>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</si>
  <si>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</si>
  <si>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</si>
  <si>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</si>
  <si>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</si>
  <si>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</si>
  <si>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</si>
  <si>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</si>
  <si>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</si>
  <si>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</si>
  <si>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</si>
  <si>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</si>
  <si>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</si>
  <si>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</si>
  <si>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</si>
  <si>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</si>
  <si>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</si>
  <si>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</si>
  <si>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</si>
  <si>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</si>
  <si>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</si>
  <si>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</si>
  <si>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</si>
  <si>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</si>
  <si>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</si>
  <si>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</si>
  <si>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</si>
  <si>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</si>
  <si>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</si>
  <si>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</si>
  <si>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</si>
  <si>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</si>
  <si>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</si>
  <si>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</si>
  <si>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</si>
  <si>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</si>
  <si>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</si>
  <si>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</si>
  <si>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</si>
  <si>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</si>
  <si>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</si>
  <si>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</si>
  <si>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</si>
  <si>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</si>
  <si>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</si>
  <si>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</si>
  <si>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</si>
  <si>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</si>
  <si>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</si>
  <si>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</si>
  <si>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</si>
  <si>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</si>
  <si>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</si>
  <si>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</si>
  <si>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</si>
  <si>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</si>
  <si>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</si>
  <si>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</si>
  <si>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</si>
  <si>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</si>
  <si>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</si>
  <si>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</si>
  <si>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</si>
  <si>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</si>
  <si>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</si>
  <si>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</si>
  <si>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</si>
  <si>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</si>
  <si>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</si>
  <si>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</si>
  <si>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</si>
  <si>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</si>
  <si>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</si>
  <si>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</si>
  <si>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</si>
  <si>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</si>
  <si>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</si>
  <si>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</si>
  <si>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</si>
  <si>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</si>
  <si>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</si>
  <si>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</si>
  <si>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</si>
  <si>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</si>
  <si>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</si>
  <si>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</si>
  <si>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</si>
  <si>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</si>
  <si>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</si>
  <si>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</si>
  <si>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</si>
  <si>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</si>
  <si>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</si>
  <si>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</si>
  <si>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</si>
  <si>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</si>
  <si>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</si>
  <si>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</si>
  <si>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</si>
  <si>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</si>
  <si>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</si>
  <si>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</si>
  <si>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</si>
  <si>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</si>
  <si>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</si>
  <si>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</si>
  <si>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</si>
  <si>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</si>
  <si>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</si>
  <si>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</si>
  <si>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</si>
  <si>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</si>
  <si>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</si>
  <si>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</si>
  <si>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</si>
  <si>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</si>
  <si>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</si>
  <si>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</si>
  <si>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</si>
  <si>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</si>
  <si>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</si>
  <si>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</si>
  <si>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</si>
  <si>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</si>
  <si>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</si>
  <si>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</si>
  <si>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</si>
  <si>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</si>
  <si>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</si>
  <si>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</si>
  <si>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</si>
  <si>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</si>
  <si>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</si>
  <si>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</si>
  <si>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</si>
  <si>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</si>
  <si>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</si>
  <si>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</si>
  <si>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</si>
  <si>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</si>
  <si>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</si>
  <si>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</si>
  <si>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</si>
  <si>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</si>
  <si>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</si>
  <si>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</si>
  <si>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</si>
  <si>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</si>
  <si>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</si>
  <si>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</si>
  <si>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</si>
  <si>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</si>
  <si>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</si>
  <si>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</si>
  <si>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</si>
  <si>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</si>
  <si>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</si>
  <si>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</si>
  <si>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</si>
  <si>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</si>
  <si>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</si>
  <si>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</si>
  <si>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</si>
  <si>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</si>
  <si>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</si>
  <si>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</si>
  <si>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</si>
  <si>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</si>
  <si>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</si>
  <si>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</si>
  <si>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</si>
  <si>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</si>
  <si>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</si>
  <si>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</si>
  <si>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</si>
  <si>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</si>
  <si>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</si>
  <si>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</si>
  <si>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</si>
  <si>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</si>
  <si>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</si>
  <si>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</si>
  <si>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</si>
  <si>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</si>
  <si>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</si>
  <si>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</si>
  <si>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</si>
  <si>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</si>
  <si>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</si>
  <si>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</si>
  <si>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</si>
  <si>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</si>
  <si>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</si>
  <si>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</si>
  <si>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</si>
  <si>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</si>
  <si>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</si>
  <si>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</si>
  <si>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</si>
  <si>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</si>
  <si>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</si>
  <si>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</si>
  <si>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</si>
  <si>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</si>
  <si>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</si>
  <si>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</si>
  <si>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</si>
  <si>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</si>
  <si>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</si>
  <si>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</si>
  <si>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</si>
  <si>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</si>
  <si>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</si>
  <si>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</si>
  <si>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</si>
  <si>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</si>
  <si>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</si>
  <si>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</si>
  <si>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</si>
  <si>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</si>
  <si>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</si>
  <si>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</si>
  <si>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</si>
  <si>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</si>
  <si>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</si>
  <si>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</si>
  <si>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</si>
  <si>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</si>
  <si>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</si>
  <si>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</si>
  <si>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</si>
  <si>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</si>
  <si>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</si>
  <si>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</si>
  <si>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</si>
  <si>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</si>
  <si>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</si>
  <si>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</si>
  <si>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</si>
  <si>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</si>
  <si>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</si>
  <si>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</si>
  <si>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</si>
  <si>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</si>
  <si>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</si>
  <si>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</si>
  <si>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</si>
  <si>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</si>
  <si>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</si>
  <si>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</si>
  <si>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</si>
  <si>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</si>
  <si>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</si>
  <si>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</si>
  <si>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</si>
  <si>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</si>
  <si>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</si>
  <si>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</si>
  <si>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</si>
  <si>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</si>
  <si>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</si>
  <si>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</si>
  <si>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</si>
  <si>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</si>
  <si>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</si>
  <si>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</si>
  <si>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</si>
  <si>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</si>
  <si>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</si>
  <si>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</si>
  <si>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</si>
  <si>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</si>
  <si>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</si>
  <si>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</si>
  <si>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</si>
  <si>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</si>
  <si>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</si>
  <si>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</si>
  <si>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</si>
  <si>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</si>
  <si>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</si>
  <si>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</si>
  <si>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</si>
  <si>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</si>
  <si>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</si>
  <si>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</si>
  <si>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</si>
  <si>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</si>
  <si>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</si>
  <si>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</si>
  <si>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</si>
  <si>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</si>
  <si>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</si>
  <si>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</si>
  <si>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</si>
  <si>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</si>
  <si>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</si>
  <si>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</si>
  <si>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</si>
  <si>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</si>
  <si>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</si>
  <si>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</si>
  <si>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</si>
  <si>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</si>
  <si>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</si>
  <si>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</si>
  <si>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</si>
  <si>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</si>
  <si>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</si>
  <si>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</si>
  <si>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</si>
  <si>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</si>
  <si>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</si>
  <si>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</si>
  <si>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</si>
  <si>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</si>
  <si>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</si>
  <si>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</si>
  <si>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</si>
  <si>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</si>
  <si>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</si>
  <si>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</si>
  <si>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</si>
  <si>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</si>
  <si>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</si>
  <si>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</si>
  <si>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</si>
  <si>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</si>
  <si>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</si>
  <si>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</si>
  <si>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</si>
  <si>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</si>
  <si>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</si>
  <si>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</si>
  <si>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</si>
  <si>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</si>
  <si>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</si>
  <si>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</si>
  <si>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</si>
  <si>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</si>
  <si>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</si>
  <si>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</si>
  <si>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</si>
  <si>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</si>
  <si>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</si>
  <si>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</si>
  <si>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</si>
  <si>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</si>
  <si>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</si>
  <si>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</si>
  <si>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</si>
  <si>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</si>
  <si>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</si>
  <si>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</si>
  <si>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</si>
  <si>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</si>
  <si>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</si>
  <si>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</si>
  <si>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</si>
  <si>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</si>
  <si>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</si>
  <si>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</si>
  <si>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</si>
  <si>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</si>
  <si>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</si>
  <si>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</si>
  <si>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</si>
  <si>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</si>
  <si>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</si>
  <si>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</si>
  <si>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</si>
  <si>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</si>
  <si>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</si>
  <si>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</si>
  <si>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</si>
  <si>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</si>
  <si>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</si>
  <si>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</si>
  <si>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</si>
  <si>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</si>
  <si>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</si>
  <si>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</si>
  <si>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</si>
  <si>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</si>
  <si>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</si>
  <si>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</si>
  <si>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</si>
  <si>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</si>
  <si>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</si>
  <si>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</si>
  <si>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</si>
  <si>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</si>
  <si>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</si>
  <si>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</si>
  <si>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</si>
  <si>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</si>
  <si>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</si>
  <si>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</si>
  <si>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</si>
  <si>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</si>
  <si>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</si>
  <si>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</si>
  <si>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</si>
  <si>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</si>
  <si>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</si>
  <si>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</si>
  <si>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</si>
  <si>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</si>
  <si>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</si>
  <si>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</si>
  <si>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</si>
  <si>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</si>
  <si>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</si>
  <si>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</si>
  <si>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</si>
  <si>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</si>
  <si>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</si>
  <si>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</si>
  <si>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</si>
  <si>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</si>
  <si>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</si>
  <si>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</si>
  <si>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</si>
  <si>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</si>
  <si>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</si>
  <si>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</si>
  <si>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</si>
  <si>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</si>
  <si>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</si>
  <si>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</si>
  <si>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</si>
  <si>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</si>
  <si>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</si>
  <si>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</si>
  <si>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</si>
  <si>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</si>
  <si>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</si>
  <si>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</si>
  <si>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</si>
  <si>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</si>
  <si>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</si>
  <si>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</si>
  <si>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</si>
  <si>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</si>
  <si>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</si>
  <si>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</si>
  <si>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</si>
  <si>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</si>
  <si>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</si>
  <si>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</si>
  <si>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</si>
  <si>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</si>
  <si>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</si>
  <si>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</si>
  <si>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</si>
  <si>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</si>
  <si>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</si>
  <si>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</si>
  <si>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</si>
  <si>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</si>
  <si>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</si>
  <si>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</si>
  <si>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</si>
  <si>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</si>
  <si>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</si>
  <si>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</si>
  <si>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</si>
  <si>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</si>
  <si>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</si>
  <si>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</si>
  <si>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</si>
  <si>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</si>
  <si>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</si>
  <si>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</si>
  <si>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</si>
  <si>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</si>
  <si>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</si>
  <si>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</si>
  <si>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</si>
  <si>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</si>
  <si>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</si>
  <si>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</si>
  <si>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</si>
  <si>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</si>
  <si>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</si>
  <si>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</si>
  <si>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</si>
  <si>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</si>
  <si>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</si>
  <si>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</si>
  <si>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</si>
  <si>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</si>
  <si>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</si>
  <si>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</si>
  <si>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</si>
  <si>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</si>
  <si>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</si>
  <si>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</si>
  <si>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</si>
  <si>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</si>
  <si>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</si>
  <si>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</si>
  <si>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</si>
  <si>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</si>
  <si>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</si>
  <si>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</si>
  <si>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</si>
  <si>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</si>
  <si>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</si>
  <si>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</si>
  <si>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</si>
  <si>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</si>
  <si>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</si>
  <si>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</si>
  <si>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</si>
  <si>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</si>
  <si>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</si>
  <si>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</si>
  <si>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</si>
  <si>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</si>
  <si>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</si>
  <si>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</si>
  <si>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</si>
  <si>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</si>
  <si>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</si>
  <si>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</si>
  <si>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</si>
  <si>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</si>
  <si>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</si>
  <si>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</si>
  <si>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</si>
  <si>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</si>
  <si>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</si>
  <si>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</si>
  <si>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</si>
  <si>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</si>
  <si>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</si>
  <si>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</si>
  <si>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</si>
  <si>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</si>
  <si>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</si>
  <si>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</si>
  <si>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</si>
  <si>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</si>
  <si>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</si>
  <si>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</si>
  <si>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</si>
  <si>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</si>
  <si>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</si>
  <si>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</si>
  <si>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</si>
  <si>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</si>
  <si>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</si>
  <si>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</si>
  <si>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</si>
  <si>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</si>
  <si>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</si>
  <si>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</si>
  <si>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</si>
  <si>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</si>
  <si>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</si>
  <si>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</si>
  <si>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</si>
  <si>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</si>
  <si>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</si>
  <si>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</si>
  <si>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</si>
  <si>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</si>
  <si>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</si>
  <si>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</si>
  <si>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</si>
  <si>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</si>
  <si>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</si>
  <si>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</si>
  <si>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</si>
  <si>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</si>
  <si>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</si>
  <si>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</si>
  <si>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</si>
  <si>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</si>
  <si>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</si>
  <si>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</si>
  <si>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</si>
  <si>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</si>
  <si>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</si>
  <si>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</si>
  <si>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</si>
  <si>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</si>
  <si>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</si>
  <si>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</si>
  <si>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</si>
  <si>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</si>
  <si>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</si>
  <si>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</si>
  <si>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</si>
  <si>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</si>
  <si>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</si>
  <si>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</si>
  <si>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</si>
  <si>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</si>
  <si>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</si>
  <si>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</si>
  <si>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</si>
  <si>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</si>
  <si>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</si>
  <si>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</si>
  <si>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</si>
  <si>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</si>
  <si>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</si>
  <si>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</si>
  <si>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</si>
  <si>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</si>
  <si>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</si>
  <si>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</si>
  <si>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</si>
  <si>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</si>
  <si>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</si>
  <si>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</si>
  <si>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</si>
  <si>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</si>
  <si>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</si>
  <si>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</si>
  <si>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</si>
  <si>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</si>
  <si>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</si>
  <si>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</si>
  <si>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</si>
  <si>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</si>
  <si>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</si>
  <si>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</si>
  <si>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</si>
  <si>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</si>
  <si>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</si>
  <si>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</si>
  <si>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</si>
  <si>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</si>
  <si>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</si>
  <si>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</si>
  <si>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</si>
  <si>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</si>
  <si>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</si>
  <si>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</si>
  <si>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</si>
  <si>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</si>
  <si>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</si>
  <si>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</si>
  <si>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</si>
  <si>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</si>
  <si>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</si>
  <si>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</si>
  <si>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</si>
  <si>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</si>
  <si>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</si>
  <si>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</si>
  <si>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</si>
  <si>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</si>
  <si>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</si>
  <si>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</si>
  <si>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</si>
  <si>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</si>
  <si>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</si>
  <si>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</si>
  <si>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</si>
  <si>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</si>
  <si>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</si>
  <si>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</si>
  <si>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</si>
  <si>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</si>
  <si>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</si>
  <si>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</si>
  <si>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</si>
  <si>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</si>
  <si>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</si>
  <si>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</si>
  <si>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</si>
  <si>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</si>
  <si>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</si>
  <si>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</si>
  <si>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</si>
  <si>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</si>
  <si>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</si>
  <si>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</si>
  <si>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</si>
  <si>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</si>
  <si>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</si>
  <si>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</si>
  <si>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</si>
  <si>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</si>
  <si>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</si>
  <si>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</si>
  <si>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</si>
  <si>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</si>
  <si>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</si>
  <si>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</si>
  <si>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</si>
  <si>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</si>
  <si>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</si>
  <si>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</si>
  <si>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</si>
  <si>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</si>
  <si>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</si>
  <si>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</si>
  <si>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</si>
  <si>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</si>
  <si>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</si>
  <si>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</si>
  <si>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</si>
  <si>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</si>
  <si>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</si>
  <si>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</si>
  <si>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</si>
  <si>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</si>
  <si>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</si>
  <si>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</si>
  <si>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</si>
  <si>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</si>
  <si>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</si>
  <si>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</si>
  <si>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</si>
  <si>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</si>
  <si>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</si>
  <si>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</si>
  <si>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</si>
  <si>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</si>
  <si>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</si>
  <si>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</si>
  <si>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</si>
  <si>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</si>
  <si>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</si>
  <si>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</si>
  <si>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</si>
  <si>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</si>
  <si>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</si>
  <si>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</si>
  <si>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</si>
  <si>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</si>
  <si>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</si>
  <si>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</si>
  <si>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</si>
  <si>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</si>
  <si>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</si>
  <si>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</si>
  <si>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</si>
  <si>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</si>
  <si>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</si>
  <si>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</si>
  <si>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</si>
  <si>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</si>
  <si>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</si>
  <si>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</si>
  <si>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</si>
  <si>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</si>
  <si>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</si>
  <si>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</si>
  <si>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</si>
  <si>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</si>
  <si>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</si>
  <si>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</si>
  <si>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</si>
  <si>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</si>
  <si>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</si>
  <si>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09:32h</t>
  </si>
  <si>
    <t>MC1 as 09:32h licença as 09:41h</t>
  </si>
  <si>
    <t xml:space="preserve"> MC1 as 09:52h </t>
  </si>
  <si>
    <t>e</t>
  </si>
  <si>
    <t>Prontos as 08:57 - em intervalo das 9h as 10:30h - Solicitaram 1:30h de intervalo - realizou 1 solda</t>
  </si>
  <si>
    <t>Solicitaram 1:30h de intervalo - Realizou 1 solda</t>
  </si>
  <si>
    <t>Pediram intervalo de 1h30,  menor que o programado</t>
  </si>
  <si>
    <t>TCS-744TEX</t>
  </si>
  <si>
    <t>TCS744TEX</t>
  </si>
  <si>
    <t>08:23h</t>
  </si>
  <si>
    <t>MC1 as08:23h parte após D77</t>
  </si>
  <si>
    <t>09:47h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</si>
  <si>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</si>
  <si>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</si>
  <si>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</si>
  <si>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09:35h</t>
  </si>
  <si>
    <t>MC1 as 09:35h - licença as 11:17h - deslocando para local de descarga</t>
  </si>
  <si>
    <t>Sai de TID trabalha em TID201 e volta pra TID, chegando no km precisa pedir licença de volta pra TID pra não atrapalhar o W50 que estará na virtual da frente (201213)</t>
  </si>
  <si>
    <t>MC1 as 11:38h</t>
  </si>
  <si>
    <t>Substituição de trilho Km 79+980. 10 metros</t>
  </si>
  <si>
    <t>Em intervalo das 09:43h as 10:43 - Trocou 8m de trilho</t>
  </si>
  <si>
    <t>Trocou 8m de trilho</t>
  </si>
  <si>
    <t>Deslocamento de ZFH- ZTO</t>
  </si>
  <si>
    <t>1(Edson) + 1 escala de ZFH para ZTO</t>
  </si>
  <si>
    <t>Cancelado - Escala não tinha equipe disponível para o techo ZIQ-ZTO</t>
  </si>
  <si>
    <t>ZEV</t>
  </si>
  <si>
    <t>ZTPZEV</t>
  </si>
  <si>
    <t>ZTP-ZEV</t>
  </si>
  <si>
    <t>Deslocamento de ZTP para ZEV</t>
  </si>
  <si>
    <t>1 (Navas)</t>
  </si>
  <si>
    <t>09;00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</si>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</sst>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164" activePane="bottomRight" state="frozen"/>
      <selection pane="bottomRight" activeCell="P173" sqref="P17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1131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1132</v>
      </c>
      <c r="BI1" s="366"/>
      <c r="BJ1" s="367"/>
      <c r="BK1" s="368"/>
      <c r="BL1" s="49"/>
      <c r="BM1" s="358" t="s">
        <v>1133</v>
      </c>
      <c r="BN1" s="359"/>
      <c r="BO1" s="359"/>
      <c r="BP1" s="359"/>
      <c r="BQ1" s="359"/>
      <c r="BR1" s="359"/>
      <c r="BS1" s="360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1" t="s">
        <v>1134</v>
      </c>
      <c r="AJ2" s="362"/>
      <c r="AK2" s="362"/>
      <c r="AL2" s="362"/>
      <c r="AM2" s="362"/>
      <c r="AN2" s="362"/>
      <c r="AO2" s="362"/>
      <c r="AP2" s="362"/>
      <c r="AQ2" s="364"/>
      <c r="AR2" s="238"/>
      <c r="AS2" s="376" t="s">
        <v>1137</v>
      </c>
      <c r="AT2" s="363"/>
      <c r="AU2" s="363"/>
      <c r="AV2" s="363"/>
      <c r="AW2" s="363"/>
      <c r="AX2" s="362"/>
      <c r="AY2" s="364"/>
      <c r="AZ2" s="4"/>
      <c r="BA2" s="355" t="s">
        <v>1138</v>
      </c>
      <c r="BB2" s="357"/>
      <c r="BC2" s="361" t="s">
        <v>1135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5" t="s">
        <v>1139</v>
      </c>
      <c r="AJ3" s="357"/>
      <c r="AK3" s="355" t="s">
        <v>1140</v>
      </c>
      <c r="AL3" s="356"/>
      <c r="AM3" s="356"/>
      <c r="AN3" s="356"/>
      <c r="AO3" s="356"/>
      <c r="AP3" s="356"/>
      <c r="AQ3" s="357"/>
      <c r="AR3" s="239"/>
      <c r="AS3" s="379" t="s">
        <v>1146</v>
      </c>
      <c r="AT3" s="380"/>
      <c r="AU3" s="379" t="s">
        <v>1147</v>
      </c>
      <c r="AV3" s="380"/>
      <c r="AW3" s="379" t="s">
        <v>1148</v>
      </c>
      <c r="AX3" s="381"/>
      <c r="AY3" s="63" t="s">
        <v>1149</v>
      </c>
      <c r="AZ3" s="63"/>
      <c r="BA3" s="377"/>
      <c r="BB3" s="378"/>
      <c r="BC3" s="355" t="s">
        <v>1142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1150</v>
      </c>
      <c r="BN3" s="359"/>
      <c r="BO3" s="359"/>
      <c r="BP3" s="360"/>
      <c r="BQ3" s="358" t="s">
        <v>161</v>
      </c>
      <c r="BR3" s="359"/>
      <c r="BS3" s="360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1353</v>
      </c>
      <c r="BK110" s="16" t="s">
        <v>1354</v>
      </c>
      <c r="BL110" s="15"/>
      <c r="BM110" s="14" t="s">
        <v>989</v>
      </c>
      <c r="BN110" s="14" t="s">
        <v>989</v>
      </c>
      <c r="BO110" s="164" t="s">
        <v>989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354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1359</v>
      </c>
      <c r="BK116" s="16" t="s">
        <v>1360</v>
      </c>
      <c r="BL116" s="15"/>
      <c r="BM116" s="14" t="s">
        <v>989</v>
      </c>
      <c r="BN116" s="14" t="s">
        <v>989</v>
      </c>
      <c r="BO116" s="164" t="s">
        <v>989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4" t="str">
        <f t="shared" si="20"/>
        <v>OKOK</v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1362</v>
      </c>
      <c r="BK117" s="16" t="s">
        <v>1363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1365</v>
      </c>
      <c r="BK119" s="16" t="s">
        <v>1366</v>
      </c>
      <c r="BL119" s="15"/>
      <c r="BM119" s="14" t="s">
        <v>989</v>
      </c>
      <c r="BN119" s="14" t="s">
        <v>989</v>
      </c>
      <c r="BO119" s="164" t="s">
        <v>989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4" t="str">
        <f t="shared" si="20"/>
        <v>OKOK</v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1368</v>
      </c>
      <c r="BK121" s="16" t="s">
        <v>1368</v>
      </c>
      <c r="BL121" s="15"/>
      <c r="BM121" s="14" t="s">
        <v>985</v>
      </c>
      <c r="BN121" s="14" t="s">
        <v>1014</v>
      </c>
      <c r="BO121" s="164" t="s">
        <v>1112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1371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195.8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195.8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1373</v>
      </c>
      <c r="BK127" s="16" t="s">
        <v>1374</v>
      </c>
      <c r="BL127" s="15"/>
      <c r="BM127" s="14" t="s">
        <v>989</v>
      </c>
      <c r="BN127" s="14" t="s">
        <v>989</v>
      </c>
      <c r="BO127" s="164" t="s">
        <v>989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1375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1373</v>
      </c>
      <c r="BK129" s="16" t="s">
        <v>1374</v>
      </c>
      <c r="BL129" s="15"/>
      <c r="BM129" s="14" t="s">
        <v>989</v>
      </c>
      <c r="BN129" s="14" t="s">
        <v>989</v>
      </c>
      <c r="BO129" s="164" t="s">
        <v>989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1377</v>
      </c>
      <c r="BK131" s="16" t="s">
        <v>1378</v>
      </c>
      <c r="BL131" s="15"/>
      <c r="BM131" s="14" t="s">
        <v>989</v>
      </c>
      <c r="BN131" s="14" t="s">
        <v>989</v>
      </c>
      <c r="BO131" s="164" t="s">
        <v>989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1321</v>
      </c>
      <c r="AM133" s="283" t="s">
        <v>1384</v>
      </c>
      <c r="AN133" s="283" t="s">
        <v>1385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1386</v>
      </c>
      <c r="BK133" s="16" t="s">
        <v>1387</v>
      </c>
      <c r="BL133" s="15"/>
      <c r="BM133" s="14" t="s">
        <v>989</v>
      </c>
      <c r="BN133" s="14" t="s">
        <v>989</v>
      </c>
      <c r="BO133" s="164" t="s">
        <v>989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1383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1388</v>
      </c>
      <c r="AN135" s="283" t="s">
        <v>1389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1390</v>
      </c>
      <c r="BK135" s="16" t="s">
        <v>1391</v>
      </c>
      <c r="BL135" s="15"/>
      <c r="BM135" s="14" t="s">
        <v>989</v>
      </c>
      <c r="BN135" s="14" t="s">
        <v>989</v>
      </c>
      <c r="BO135" s="164" t="s">
        <v>989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4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1392</v>
      </c>
      <c r="N138" s="203" t="s">
        <v>1393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1394</v>
      </c>
      <c r="X138" s="217" t="s">
        <v>965</v>
      </c>
      <c r="Y138" s="157" t="s">
        <v>959</v>
      </c>
      <c r="Z138" s="157"/>
      <c r="AA138" s="83" t="s">
        <v>1230</v>
      </c>
      <c r="AB138" s="70" t="s">
        <v>957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 t="s">
        <v>1395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4.1666666666666664E-2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>
        <v>1</v>
      </c>
      <c r="BI138" s="16"/>
      <c r="BJ138" s="16" t="s">
        <v>1396</v>
      </c>
      <c r="BK138" s="16"/>
      <c r="BL138" s="15"/>
      <c r="BM138" s="14"/>
      <c r="BN138" s="14"/>
      <c r="BO138" s="164"/>
      <c r="BP138" s="16"/>
      <c r="BQ138" s="12" t="str">
        <f t="shared" si="17"/>
        <v>Produção</v>
      </c>
      <c r="BR138" s="18">
        <f t="shared" si="18"/>
        <v>1</v>
      </c>
      <c r="BS138" s="18">
        <f t="shared" si="19"/>
        <v>0</v>
      </c>
      <c r="BT138" s="224" t="str">
        <f>IF(BN138="","",SUBSTITUTE(BM138," ","")&amp;SUBSTITUTE(BN138," ",""))</f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>IF(BN139="","",SUBSTITUTE(BM139," ","")&amp;SUBSTITUTE(BN139," ",""))</f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 t="s">
        <v>959</v>
      </c>
      <c r="Z140" s="157"/>
      <c r="AA140" s="83">
        <v>1</v>
      </c>
      <c r="AB140" s="70" t="s">
        <v>957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 t="s">
        <v>1395</v>
      </c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>
        <v>1</v>
      </c>
      <c r="BI140" s="16"/>
      <c r="BJ140" s="16" t="s">
        <v>1397</v>
      </c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>IF(BN140="","",SUBSTITUTE(BM140," ","")&amp;SUBSTITUTE(BN140," ",""))</f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1398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 t="s">
        <v>968</v>
      </c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1399</v>
      </c>
      <c r="BK143" s="16" t="s">
        <v>1400</v>
      </c>
      <c r="BL143" s="15"/>
      <c r="BM143" s="14" t="s">
        <v>985</v>
      </c>
      <c r="BN143" s="14" t="s">
        <v>1014</v>
      </c>
      <c r="BO143" s="164" t="s">
        <v>1066</v>
      </c>
      <c r="BP143" s="16" t="s">
        <v>1401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4" t="str">
        <f>IF(BN143="","",SUBSTITUTE(BM143," ","")&amp;SUBSTITUTE(BN143," ",""))</f>
        <v>SuperExecução</v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1402</v>
      </c>
      <c r="N147" s="203" t="s">
        <v>1403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1371</v>
      </c>
      <c r="X147" s="217" t="s">
        <v>965</v>
      </c>
      <c r="Y147" s="157" t="s">
        <v>968</v>
      </c>
      <c r="Z147" s="157"/>
      <c r="AA147" s="83">
        <v>2</v>
      </c>
      <c r="AB147" s="70" t="s">
        <v>962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TCS-744TEX</v>
      </c>
      <c r="AN147" s="283" t="str">
        <f>IF(BS_CONTROLE[[#This Row],[SB]]=0, "-", BS_CONTROLE[[#This Row],[SB]])</f>
        <v>TCS744TEX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 t="s">
        <v>1404</v>
      </c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>
        <v>1</v>
      </c>
      <c r="BI147" s="16"/>
      <c r="BJ147" s="16" t="s">
        <v>1405</v>
      </c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>IF(BN147="","",SUBSTITUTE(BM147," ","")&amp;SUBSTITUTE(BN147," ",""))</f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0.41666666666666669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 t="s">
        <v>959</v>
      </c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v>195.8</v>
      </c>
      <c r="AQ149" s="285" t="str">
        <f>IF(BS_CONTROLE[[#This Row],[KM - Fim]]=0, "-", BS_CONTROLE[[#This Row],[KM - Fim]])</f>
        <v>-</v>
      </c>
      <c r="AR149" s="38" t="s">
        <v>1406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1407</v>
      </c>
      <c r="BK149" s="16" t="s">
        <v>1408</v>
      </c>
      <c r="BL149" s="15"/>
      <c r="BM149" s="14" t="s">
        <v>989</v>
      </c>
      <c r="BN149" s="14" t="s">
        <v>989</v>
      </c>
      <c r="BO149" s="164" t="s">
        <v>989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4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 t="s">
        <v>959</v>
      </c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1409</v>
      </c>
      <c r="X152" s="217" t="s">
        <v>960</v>
      </c>
      <c r="Y152" s="157" t="s">
        <v>959</v>
      </c>
      <c r="Z152" s="157"/>
      <c r="AA152" s="83" t="s">
        <v>1261</v>
      </c>
      <c r="AB152" s="70" t="s">
        <v>957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 t="s">
        <v>1410</v>
      </c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>
        <v>1</v>
      </c>
      <c r="BI152" s="16"/>
      <c r="BJ152" s="16" t="s">
        <v>1411</v>
      </c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>IF(BN152="","",SUBSTITUTE(BM152," ","")&amp;SUBSTITUTE(BN152," ",""))</f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1412</v>
      </c>
      <c r="X155" s="217" t="s">
        <v>965</v>
      </c>
      <c r="Y155" s="157" t="s">
        <v>968</v>
      </c>
      <c r="Z155" s="157"/>
      <c r="AA155" s="83">
        <v>1</v>
      </c>
      <c r="AB155" s="70" t="s">
        <v>957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>
        <v>0.48472222222222222</v>
      </c>
      <c r="AS155" s="38">
        <v>0.48472222222222222</v>
      </c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ERRO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>
        <v>1</v>
      </c>
      <c r="BI155" s="16"/>
      <c r="BJ155" s="16" t="s">
        <v>1413</v>
      </c>
      <c r="BK155" s="16"/>
      <c r="BL155" s="15"/>
      <c r="BM155" s="14"/>
      <c r="BN155" s="14"/>
      <c r="BO155" s="164"/>
      <c r="BP155" s="16"/>
      <c r="BQ155" s="12" t="e">
        <f t="shared" si="17"/>
        <v>#VALUE!</v>
      </c>
      <c r="BR155" s="18" t="e">
        <f t="shared" si="18"/>
        <v>#VALUE!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1414</v>
      </c>
      <c r="X159" s="217" t="s">
        <v>965</v>
      </c>
      <c r="Y159" s="157" t="s">
        <v>968</v>
      </c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1415</v>
      </c>
      <c r="BK159" s="16" t="s">
        <v>1416</v>
      </c>
      <c r="BL159" s="15"/>
      <c r="BM159" s="14" t="s">
        <v>989</v>
      </c>
      <c r="BN159" s="14" t="s">
        <v>989</v>
      </c>
      <c r="BO159" s="164" t="s">
        <v>989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1417</v>
      </c>
      <c r="X164" s="217" t="s">
        <v>965</v>
      </c>
      <c r="Y164" s="157" t="s">
        <v>968</v>
      </c>
      <c r="Z164" s="157"/>
      <c r="AA164" s="83" t="s">
        <v>1418</v>
      </c>
      <c r="AB164" s="70" t="s">
        <v>967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1419</v>
      </c>
      <c r="BK164" s="16" t="s">
        <v>1419</v>
      </c>
      <c r="BL164" s="15"/>
      <c r="BM164" s="14" t="s">
        <v>983</v>
      </c>
      <c r="BN164" s="14" t="s">
        <v>1003</v>
      </c>
      <c r="BO164" s="164" t="s">
        <v>1110</v>
      </c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>CCOEscalaEquipagem</v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1420</v>
      </c>
      <c r="J166" s="216">
        <v>78</v>
      </c>
      <c r="K166" s="216">
        <v>334</v>
      </c>
      <c r="L166" s="83">
        <v>158</v>
      </c>
      <c r="M166" s="203" t="s">
        <v>1421</v>
      </c>
      <c r="N166" s="203" t="s">
        <v>1422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1423</v>
      </c>
      <c r="X166" s="217" t="s">
        <v>965</v>
      </c>
      <c r="Y166" s="157" t="s">
        <v>968</v>
      </c>
      <c r="Z166" s="157"/>
      <c r="AA166" s="83" t="s">
        <v>1424</v>
      </c>
      <c r="AB166" s="70" t="s">
        <v>957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 t="s">
        <v>1334</v>
      </c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>V8646032</v>
      </c>
      <c r="B173" s="170">
        <v>46032</v>
      </c>
      <c r="C173" s="8">
        <f>IF(BS_CONTROLE[[#This Row],[DATA]]="","",WEEKNUM(BS_CONTROLE[[#This Row],[DATA]]))</f>
        <v>2</v>
      </c>
      <c r="D173" s="51" t="s">
        <v>215</v>
      </c>
      <c r="E173" s="319">
        <v>172</v>
      </c>
      <c r="F173" s="171" t="s">
        <v>117</v>
      </c>
      <c r="G173" s="9" t="str">
        <f>IF(D173="","*",VLOOKUP(F173,BS_ATIVIDADE[#All],3,FALSE))</f>
        <v>MECANIZAÇÃO - SOCADORA</v>
      </c>
      <c r="H173" s="172" t="s">
        <v>426</v>
      </c>
      <c r="I173" s="172" t="s">
        <v>426</v>
      </c>
      <c r="J173" s="216">
        <v>98</v>
      </c>
      <c r="K173" s="216">
        <v>730</v>
      </c>
      <c r="L173" s="83">
        <v>733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72">
        <v>0.4375</v>
      </c>
      <c r="P173" s="172"/>
      <c r="Q173" s="83"/>
      <c r="R173" s="10" t="str">
        <f>IFERROR(_xlfn.XLOOKUP(F173, BS_ATIVIDADE[ATIVIDADE],BS_ATIVIDADE[UNIDADE] ), "*")</f>
        <v>M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83" t="str">
        <f>IF(BS_CONTROLE[[#This Row],[Local - Partida]]=0, "-", BS_CONTROLE[[#This Row],[Local - Partida]])</f>
        <v>TSF1</v>
      </c>
      <c r="AL173" s="283" t="str">
        <f>IF(BS_CONTROLE[[#This Row],[Local - Encerramento]]=0, "-", BS_CONTROLE[[#This Row],[Local - Encerramento]])</f>
        <v>TSF1</v>
      </c>
      <c r="AM173" s="283" t="str">
        <f>IF(BS_CONTROLE[[#This Row],[Entre - Estações]]=0, "-", BS_CONTROLE[[#This Row],[Entre - Estações]])</f>
        <v>TSF-TRO</v>
      </c>
      <c r="AN173" s="283" t="str">
        <f>IF(BS_CONTROLE[[#This Row],[SB]]=0, "-", BS_CONTROLE[[#This Row],[SB]])</f>
        <v>TSF732</v>
      </c>
      <c r="AO173" s="284">
        <f>IF(BS_CONTROLE[[#This Row],[SUB]]=0, "-", BS_CONTROLE[[#This Row],[SUB]])</f>
        <v>98</v>
      </c>
      <c r="AP173" s="285">
        <f>IF(BS_CONTROLE[[#This Row],[KM - Inicio]]=0, "-", BS_CONTROLE[[#This Row],[KM - Inicio]])</f>
        <v>730</v>
      </c>
      <c r="AQ173" s="285">
        <f>IF(BS_CONTROLE[[#This Row],[KM - Fim]]=0, "-", BS_CONTROLE[[#This Row],[KM - Fim]])</f>
        <v>733</v>
      </c>
      <c r="AR173" s="38"/>
      <c r="AS173" s="38"/>
      <c r="AT173" s="38"/>
      <c r="AU173" s="38"/>
      <c r="AV173" s="38"/>
      <c r="AW173" s="38"/>
      <c r="AX173" s="38"/>
      <c r="AY173" s="318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e">
        <f t="shared" si="23"/>
        <v>#DIV/0!</v>
      </c>
      <c r="BR173" s="18" t="e">
        <f t="shared" si="24"/>
        <v>#DIV/0!</v>
      </c>
      <c r="BS173" s="18" t="e">
        <f t="shared" si="25"/>
        <v>#DIV/0!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>W70</v>
      </c>
      <c r="B176" s="170"/>
      <c r="C176" s="8" t="str">
        <f>IF(BS_CONTROLE[[#This Row],[DATA]]="","",WEEKNUM(BS_CONTROLE[[#This Row],[DATA]]))</f>
        <v/>
      </c>
      <c r="D176" s="51" t="s">
        <v>247</v>
      </c>
      <c r="E176" s="319">
        <v>175</v>
      </c>
      <c r="F176" s="171" t="s">
        <v>185</v>
      </c>
      <c r="G176" s="9" t="str">
        <f>IF(D176="","*",VLOOKUP(F176,BS_ATIVIDADE[#All],3,FALSE))</f>
        <v>OUTROS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VAGÕES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>MARCOS (TF-520)46032</v>
      </c>
      <c r="B182" s="170">
        <v>46032</v>
      </c>
      <c r="C182" s="8">
        <f>IF(BS_CONTROLE[[#This Row],[DATA]]="","",WEEKNUM(BS_CONTROLE[[#This Row],[DATA]]))</f>
        <v>2</v>
      </c>
      <c r="D182" s="51" t="s">
        <v>326</v>
      </c>
      <c r="E182" s="319">
        <v>181</v>
      </c>
      <c r="F182" s="171" t="s">
        <v>194</v>
      </c>
      <c r="G182" s="9" t="str">
        <f>IF(D182="","*",VLOOKUP(F182,BS_ATIVIDADE[#All],3,FALSE))</f>
        <v>SOLDA</v>
      </c>
      <c r="H182" s="172" t="s">
        <v>606</v>
      </c>
      <c r="I182" s="172" t="s">
        <v>11</v>
      </c>
      <c r="J182" s="216">
        <v>74</v>
      </c>
      <c r="K182" s="216">
        <v>227.6</v>
      </c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72" t="s">
        <v>1425</v>
      </c>
      <c r="P182" s="172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7" t="s">
        <v>1278</v>
      </c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83" t="str">
        <f>IF(BS_CONTROLE[[#This Row],[Local - Partida]]=0, "-", BS_CONTROLE[[#This Row],[Local - Partida]])</f>
        <v>TVI1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TVI</v>
      </c>
      <c r="AN182" s="283" t="str">
        <f>IF(BS_CONTROLE[[#This Row],[SB]]=0, "-", BS_CONTROLE[[#This Row],[SB]])</f>
        <v>TVI1</v>
      </c>
      <c r="AO182" s="284">
        <f>IF(BS_CONTROLE[[#This Row],[SUB]]=0, "-", BS_CONTROLE[[#This Row],[SUB]])</f>
        <v>74</v>
      </c>
      <c r="AP182" s="285">
        <f>IF(BS_CONTROLE[[#This Row],[KM - Inicio]]=0, "-", BS_CONTROLE[[#This Row],[KM - Inicio]])</f>
        <v>227.6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6" t="str">
        <f>IF(BS_CONTROLE[[#This Row],[Responsavel pelo boletim]]=0, "-", BS_CONTROLE[[#This Row],[Responsavel pelo boletim]])</f>
        <v>Herbert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>MARCOS (TF-520)46034</v>
      </c>
      <c r="B203" s="170">
        <v>46034</v>
      </c>
      <c r="C203" s="8">
        <v>2</v>
      </c>
      <c r="D203" s="51" t="s">
        <v>326</v>
      </c>
      <c r="E203" s="319">
        <v>181</v>
      </c>
      <c r="F203" s="171" t="s">
        <v>194</v>
      </c>
      <c r="G203" s="9" t="s">
        <v>195</v>
      </c>
      <c r="H203" s="172" t="s">
        <v>606</v>
      </c>
      <c r="I203" s="172" t="s">
        <v>11</v>
      </c>
      <c r="J203" s="216">
        <v>74</v>
      </c>
      <c r="K203" s="216">
        <v>227.6</v>
      </c>
      <c r="L203" s="83" t="s">
        <v>11</v>
      </c>
      <c r="M203" s="203" t="s">
        <v>605</v>
      </c>
      <c r="N203" s="203" t="s">
        <v>606</v>
      </c>
      <c r="O203" s="172" t="s">
        <v>1425</v>
      </c>
      <c r="P203" s="172">
        <v>8.3333333333333329E-2</v>
      </c>
      <c r="Q203" s="83">
        <v>2</v>
      </c>
      <c r="R203" s="10" t="s">
        <v>14</v>
      </c>
      <c r="S203" s="288" t="s">
        <v>367</v>
      </c>
      <c r="T203" s="288" t="s">
        <v>538</v>
      </c>
      <c r="U203" s="80" t="s">
        <v>537</v>
      </c>
      <c r="V203" s="197" t="s">
        <v>1278</v>
      </c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PDM - SOLDA</v>
      </c>
      <c r="AJ203" s="9" t="str">
        <f>IF(D203="","*",VLOOKUP(AI203,BS_ATIVIDADE[#Data],3,FALSE))</f>
        <v>SOLDA</v>
      </c>
      <c r="AK203" s="283" t="str">
        <f>IF(BS_CONTROLE[[#This Row],[Local - Partida]]=0, "-", BS_CONTROLE[[#This Row],[Local - Partida]])</f>
        <v>TVI1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TVI</v>
      </c>
      <c r="AN203" s="283" t="str">
        <f>IF(BS_CONTROLE[[#This Row],[SB]]=0, "-", BS_CONTROLE[[#This Row],[SB]])</f>
        <v>TVI1</v>
      </c>
      <c r="AO203" s="284">
        <f>IF(BS_CONTROLE[[#This Row],[SUB]]=0, "-", BS_CONTROLE[[#This Row],[SUB]])</f>
        <v>74</v>
      </c>
      <c r="AP203" s="285">
        <f>IF(BS_CONTROLE[[#This Row],[KM - Inicio]]=0, "-", BS_CONTROLE[[#This Row],[KM - Inicio]])</f>
        <v>227.6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Nº DE SOLDA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BASE_MAPA!$E$2:$E$359, BASE_MAPA!$J$2:$J$359), "ERRO")</f>
        <v>MARCO INICIAL - ALTO ARAGUAIA</v>
      </c>
      <c r="BF203" s="286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5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31"/>
      <c r="M1" s="123"/>
      <c r="N1" s="293"/>
      <c r="O1" s="293"/>
      <c r="P1" s="169"/>
      <c r="Q1" s="385" t="s">
        <v>1219</v>
      </c>
      <c r="R1" s="386"/>
      <c r="U1" s="101"/>
      <c r="V1" s="387" t="s">
        <v>1426</v>
      </c>
      <c r="W1" s="387"/>
      <c r="X1" s="387"/>
      <c r="Y1" s="103"/>
    </row>
    <row r="2" spans="1:25" s="100" customFormat="1" ht="11.25" customHeight="1">
      <c r="A2" s="104" t="s">
        <v>1427</v>
      </c>
      <c r="B2" s="104" t="s">
        <v>1428</v>
      </c>
      <c r="C2" s="104" t="s">
        <v>7</v>
      </c>
      <c r="D2" s="105" t="s">
        <v>1171</v>
      </c>
      <c r="E2" s="105" t="s">
        <v>1172</v>
      </c>
      <c r="F2" s="105" t="s">
        <v>1429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1430</v>
      </c>
      <c r="U2" s="107" t="s">
        <v>1174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33" t="str">
        <f>IF(FN_MC!N127="","*",FN_MC!N127)</f>
        <v>TID201</v>
      </c>
      <c r="M125" s="110">
        <f>IF(FN_MC!J127="","*",FN_MC!J127)</f>
        <v>74</v>
      </c>
      <c r="N125" s="295">
        <f>IF(FN_MC!K127="","*",FN_MC!K127)</f>
        <v>195.8</v>
      </c>
      <c r="O125" s="295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33" t="str">
        <f>IF(FN_MC!N129="","*",FN_MC!N129)</f>
        <v>TID201</v>
      </c>
      <c r="M127" s="110">
        <f>IF(FN_MC!J129="","*",FN_MC!J129)</f>
        <v>74</v>
      </c>
      <c r="N127" s="295">
        <f>IF(FN_MC!K129="","*",FN_MC!K129)</f>
        <v>195</v>
      </c>
      <c r="O127" s="295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33" t="str">
        <f>IF(FN_MC!N131="","*",FN_MC!N131)</f>
        <v>PITK96</v>
      </c>
      <c r="M129" s="110">
        <f>IF(FN_MC!J131="","*",FN_MC!J131)</f>
        <v>103</v>
      </c>
      <c r="N129" s="295">
        <f>IF(FN_MC!K131="","*",FN_MC!K131)</f>
        <v>2109.6999999999998</v>
      </c>
      <c r="O129" s="295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33" t="str">
        <f>IF(FN_MC!N133="","*",FN_MC!N133)</f>
        <v>ZGTZLI</v>
      </c>
      <c r="M131" s="110">
        <f>IF(FN_MC!J133="","*",FN_MC!J133)</f>
        <v>72</v>
      </c>
      <c r="N131" s="295">
        <f>IF(FN_MC!K133="","*",FN_MC!K133)</f>
        <v>297</v>
      </c>
      <c r="O131" s="295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33" t="str">
        <f>IF(FN_MC!N135="","*",FN_MC!N135)</f>
        <v>ZTPZTO</v>
      </c>
      <c r="M133" s="110">
        <f>IF(FN_MC!J135="","*",FN_MC!J135)</f>
        <v>78</v>
      </c>
      <c r="N133" s="295">
        <f>IF(FN_MC!K135="","*",FN_MC!K135)</f>
        <v>334</v>
      </c>
      <c r="O133" s="295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33" t="str">
        <f>IF(FN_MC!N138="","*",FN_MC!N138)</f>
        <v>TROTGR</v>
      </c>
      <c r="M136" s="110">
        <f>IF(FN_MC!J138="","*",FN_MC!J138)</f>
        <v>98</v>
      </c>
      <c r="N136" s="295">
        <f>IF(FN_MC!K138="","*",FN_MC!K138)</f>
        <v>754</v>
      </c>
      <c r="O136" s="295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33">
        <f>IF(FN_MC!N140="","*",FN_MC!N140)</f>
        <v>732744</v>
      </c>
      <c r="M138" s="110">
        <f>IF(FN_MC!J140="","*",FN_MC!J140)</f>
        <v>98</v>
      </c>
      <c r="N138" s="295">
        <f>IF(FN_MC!K140="","*",FN_MC!K140)</f>
        <v>738</v>
      </c>
      <c r="O138" s="295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33" t="str">
        <f>IF(FN_MC!N143="","*",FN_MC!N143)</f>
        <v>440TVL</v>
      </c>
      <c r="M141" s="110">
        <f>IF(FN_MC!J143="","*",FN_MC!J143)</f>
        <v>74</v>
      </c>
      <c r="N141" s="295">
        <f>IF(FN_MC!K143="","*",FN_MC!K143)</f>
        <v>445.3</v>
      </c>
      <c r="O141" s="295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33" t="str">
        <f>IF(FN_MC!N144="","*",FN_MC!N144)</f>
        <v>*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33" t="str">
        <f>IF(FN_MC!N147="","*",FN_MC!N147)</f>
        <v>TCS744TEX</v>
      </c>
      <c r="M145" s="110">
        <f>IF(FN_MC!J147="","*",FN_MC!J147)</f>
        <v>74</v>
      </c>
      <c r="N145" s="295">
        <f>IF(FN_MC!K147="","*",FN_MC!K147)</f>
        <v>291</v>
      </c>
      <c r="O145" s="295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33" t="str">
        <f>IF(FN_MC!N149="","*",FN_MC!N149)</f>
        <v>TVI1</v>
      </c>
      <c r="M147" s="110">
        <f>IF(FN_MC!J149="","*",FN_MC!J149)</f>
        <v>74</v>
      </c>
      <c r="N147" s="295">
        <f>IF(FN_MC!K149="","*",FN_MC!K149)</f>
        <v>227.6</v>
      </c>
      <c r="O147" s="295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33">
        <f>IF(FN_MC!N152="","*",FN_MC!N152)</f>
        <v>201213</v>
      </c>
      <c r="M150" s="110">
        <f>IF(FN_MC!J152="","*",FN_MC!J152)</f>
        <v>74</v>
      </c>
      <c r="N150" s="295">
        <f>IF(FN_MC!K152="","*",FN_MC!K152)</f>
        <v>213</v>
      </c>
      <c r="O150" s="295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33" t="str">
        <f>IF(FN_MC!N155="","*",FN_MC!N155)</f>
        <v>TID201</v>
      </c>
      <c r="M153" s="110">
        <f>IF(FN_MC!J155="","*",FN_MC!J155)</f>
        <v>74</v>
      </c>
      <c r="N153" s="295">
        <f>IF(FN_MC!K155="","*",FN_MC!K155)</f>
        <v>197.79</v>
      </c>
      <c r="O153" s="295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8.3333333333333329E-2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33" t="str">
        <f>IF(FN_MC!N159="","*",FN_MC!N159)</f>
        <v>K73TSP</v>
      </c>
      <c r="M157" s="110">
        <f>IF(FN_MC!J159="","*",FN_MC!J159)</f>
        <v>74</v>
      </c>
      <c r="N157" s="295">
        <f>IF(FN_MC!K159="","*",FN_MC!K159)</f>
        <v>79.98</v>
      </c>
      <c r="O157" s="295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33" t="str">
        <f>IF(FN_MC!N164="","*",FN_MC!N164)</f>
        <v>ZFH1</v>
      </c>
      <c r="M162" s="110">
        <f>IF(FN_MC!J164="","*",FN_MC!J164)</f>
        <v>78</v>
      </c>
      <c r="N162" s="295">
        <f>IF(FN_MC!K164="","*",FN_MC!K164)</f>
        <v>189.5</v>
      </c>
      <c r="O162" s="295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33" t="str">
        <f>IF(FN_MC!N166="","*",FN_MC!N166)</f>
        <v>ZTP-ZEV</v>
      </c>
      <c r="M164" s="110">
        <f>IF(FN_MC!J166="","*",FN_MC!J166)</f>
        <v>78</v>
      </c>
      <c r="N164" s="295">
        <f>IF(FN_MC!K166="","*",FN_MC!K166)</f>
        <v>334</v>
      </c>
      <c r="O164" s="295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33" t="str">
        <f>IF(FN_MC!N173="","*",FN_MC!N173)</f>
        <v>TSF732</v>
      </c>
      <c r="M171" s="110">
        <f>IF(FN_MC!J173="","*",FN_MC!J173)</f>
        <v>98</v>
      </c>
      <c r="N171" s="295">
        <f>IF(FN_MC!K173="","*",FN_MC!K173)</f>
        <v>730</v>
      </c>
      <c r="O171" s="295">
        <f>IF(FN_MC!L173="","*",FN_MC!L173)</f>
        <v>733</v>
      </c>
      <c r="P171" s="110"/>
      <c r="Q171" s="127">
        <f>IF(FN_MC!O173="","*",FN_MC!O173)</f>
        <v>0.4375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>
        <f ca="1">_xlfn.XLOOKUP(G171&amp;$V$2,BS_CONTROLE[CHAVE],BS_CONTROLE[Quantidade_11],"-")</f>
        <v>2900</v>
      </c>
      <c r="W171" s="111">
        <f ca="1">_xlfn.XLOOKUP(G171&amp;$W$2,BS_CONTROLE[CHAVE],BS_CONTROLE[Quantidade_11],"-")</f>
        <v>4073</v>
      </c>
      <c r="X171" s="111">
        <f ca="1">_xlfn.XLOOKUP(G171&amp;$X$2,BS_CONTROLE[CHAVE],BS_CONTROLE[Quantidade_11],"-")</f>
        <v>1700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W70</v>
      </c>
      <c r="H179" s="109" t="str">
        <f>IF(FN_MC!F176="","*",FN_MC!F176)</f>
        <v>PDM - PEDRA - CARGA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>
        <f ca="1">_xlfn.XLOOKUP(G179&amp;$V$2,BS_CONTROLE[CHAVE],BS_CONTROLE[Quantidade_11],"-")</f>
        <v>28</v>
      </c>
      <c r="W179" s="111">
        <f ca="1">_xlfn.XLOOKUP(G179&amp;$W$2,BS_CONTROLE[CHAVE],BS_CONTROLE[Quantidade_11],"-")</f>
        <v>1</v>
      </c>
      <c r="X179" s="111">
        <f ca="1">_xlfn.XLOOKUP(G179&amp;$X$2,BS_CONTROLE[CHAVE],BS_CONTROLE[Quantidade_11],"-")</f>
        <v>28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FERRONORTE</v>
      </c>
      <c r="E185" s="109" t="str">
        <f>IF(FN_MC!T182="","*",FN_MC!T182)</f>
        <v>TMI-TCS</v>
      </c>
      <c r="F185" s="109">
        <f>IF(FN_MC!B182="","*",FN_MC!B182)</f>
        <v>46032</v>
      </c>
      <c r="G185" s="109" t="str">
        <f>IF(FN_MC!D182="","*",FN_MC!D182)</f>
        <v>MARCOS (TF-520)</v>
      </c>
      <c r="H185" s="109" t="str">
        <f>IF(FN_MC!F182="","*",FN_MC!F182)</f>
        <v>PDM - SOLDA</v>
      </c>
      <c r="I185" s="109" t="str">
        <f>IF(FN_MC!H182="","*",FN_MC!H182)</f>
        <v>TVI1</v>
      </c>
      <c r="J185" s="109" t="str">
        <f>IF(FN_MC!I182="","*",FN_MC!I182)</f>
        <v>-</v>
      </c>
      <c r="K185" s="109" t="str">
        <f>IF(FN_MC!M182="","*",FN_MC!M182)</f>
        <v>TVI</v>
      </c>
      <c r="L185" s="333" t="str">
        <f>IF(FN_MC!N182="","*",FN_MC!N182)</f>
        <v>TVI1</v>
      </c>
      <c r="M185" s="110">
        <f>IF(FN_MC!J182="","*",FN_MC!J182)</f>
        <v>74</v>
      </c>
      <c r="N185" s="295">
        <f>IF(FN_MC!K182="","*",FN_MC!K182)</f>
        <v>227.6</v>
      </c>
      <c r="O185" s="295" t="str">
        <f>IF(FN_MC!L182="","*",FN_MC!L182)</f>
        <v>-</v>
      </c>
      <c r="P185" s="110"/>
      <c r="Q185" s="127" t="str">
        <f>IF(FN_MC!O182="","*",FN_MC!O182)</f>
        <v>09;00</v>
      </c>
      <c r="R185" s="127">
        <f>IF(FN_MC!P182="","*",FN_MC!P182)</f>
        <v>8.3333333333333329E-2</v>
      </c>
      <c r="S185" s="109" t="str">
        <f>IF(FN_MC!Q182="","*",CONCATENATE(FN_MC!Q182," ",FN_MC!R182))</f>
        <v>2 Nº DE SOLDA</v>
      </c>
      <c r="T185" s="109" t="str">
        <f>IF(FN_MC!V182="","*",FN_MC!V182)</f>
        <v>Herbert</v>
      </c>
      <c r="U185" s="109" t="str">
        <f>IF(FN_MC!W182="","*",FN_MC!W182)</f>
        <v>*</v>
      </c>
      <c r="V185" s="111">
        <f ca="1">_xlfn.XLOOKUP(G185&amp;$V$2,BS_CONTROLE[CHAVE],BS_CONTROLE[Quantidade_11],"-")</f>
        <v>2</v>
      </c>
      <c r="W185" s="111">
        <f ca="1">_xlfn.XLOOKUP(G185&amp;$W$2,BS_CONTROLE[CHAVE],BS_CONTROLE[Quantidade_11],"-")</f>
        <v>2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FERRONORTE</v>
      </c>
      <c r="E205" s="109" t="str">
        <f>IF(FN_MC!T203="","*",FN_MC!T203)</f>
        <v>TMI-TCS</v>
      </c>
      <c r="F205" s="109">
        <f>IF(FN_MC!B203="","*",FN_MC!B203)</f>
        <v>46034</v>
      </c>
      <c r="G205" s="109" t="str">
        <f>IF(FN_MC!D203="","*",FN_MC!D203)</f>
        <v>MARCOS (TF-520)</v>
      </c>
      <c r="H205" s="109" t="str">
        <f>IF(FN_MC!F203="","*",FN_MC!F203)</f>
        <v>PDM - SOLDA</v>
      </c>
      <c r="I205" s="109" t="str">
        <f>IF(FN_MC!H203="","*",FN_MC!H203)</f>
        <v>TVI1</v>
      </c>
      <c r="J205" s="109" t="str">
        <f>IF(FN_MC!I203="","*",FN_MC!I203)</f>
        <v>-</v>
      </c>
      <c r="K205" s="109" t="str">
        <f>IF(FN_MC!M203="","*",FN_MC!M203)</f>
        <v>TVI</v>
      </c>
      <c r="L205" s="333" t="str">
        <f>IF(FN_MC!N203="","*",FN_MC!N203)</f>
        <v>TVI1</v>
      </c>
      <c r="M205" s="110">
        <f>IF(FN_MC!J203="","*",FN_MC!J203)</f>
        <v>74</v>
      </c>
      <c r="N205" s="295">
        <f>IF(FN_MC!K203="","*",FN_MC!K203)</f>
        <v>227.6</v>
      </c>
      <c r="O205" s="295" t="str">
        <f>IF(FN_MC!L203="","*",FN_MC!L203)</f>
        <v>-</v>
      </c>
      <c r="P205" s="110"/>
      <c r="Q205" s="127" t="str">
        <f>IF(FN_MC!O203="","*",FN_MC!O203)</f>
        <v>09;00</v>
      </c>
      <c r="R205" s="127">
        <f>IF(FN_MC!P203="","*",FN_MC!P203)</f>
        <v>8.3333333333333329E-2</v>
      </c>
      <c r="S205" s="109" t="str">
        <f>IF(FN_MC!Q203="","*",CONCATENATE(FN_MC!Q203," ",FN_MC!R203))</f>
        <v>2 Nº DE SOLDA</v>
      </c>
      <c r="T205" s="109" t="str">
        <f>IF(FN_MC!V203="","*",FN_MC!V203)</f>
        <v>Herbert</v>
      </c>
      <c r="U205" s="109" t="str">
        <f>IF(FN_MC!W203="","*",FN_MC!W203)</f>
        <v>*</v>
      </c>
      <c r="V205" s="111">
        <f ca="1">_xlfn.XLOOKUP(G205&amp;$V$2,BS_CONTROLE[CHAVE],BS_CONTROLE[Quantidade_11],"-")</f>
        <v>2</v>
      </c>
      <c r="W205" s="111">
        <f ca="1">_xlfn.XLOOKUP(G205&amp;$W$2,BS_CONTROLE[CHAVE],BS_CONTROLE[Quantidade_11],"-")</f>
        <v>2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1431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1432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21" t="s">
        <v>105</v>
      </c>
      <c r="D3" s="321" t="s">
        <v>1433</v>
      </c>
      <c r="E3" s="321" t="s">
        <v>1434</v>
      </c>
      <c r="F3" s="321" t="s">
        <v>1435</v>
      </c>
      <c r="G3" s="321" t="s">
        <v>1436</v>
      </c>
      <c r="H3" s="321" t="s">
        <v>1437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1438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1439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9" t="s">
        <v>1440</v>
      </c>
      <c r="C2" s="389"/>
      <c r="D2" s="389"/>
      <c r="E2" s="389"/>
      <c r="F2" s="389"/>
      <c r="G2" s="389"/>
      <c r="H2" s="191"/>
    </row>
    <row r="3" spans="1:8">
      <c r="A3" s="191"/>
      <c r="B3" s="390"/>
      <c r="C3" s="390"/>
      <c r="D3" s="390"/>
      <c r="E3" s="390"/>
      <c r="F3" s="390"/>
      <c r="G3" s="390"/>
      <c r="H3" s="191"/>
    </row>
    <row r="4" spans="1:8" ht="40.5">
      <c r="A4" s="191"/>
      <c r="B4" s="326" t="s">
        <v>1441</v>
      </c>
      <c r="C4" s="326" t="s">
        <v>1442</v>
      </c>
      <c r="D4" s="326" t="s">
        <v>1443</v>
      </c>
      <c r="E4" s="326" t="s">
        <v>1444</v>
      </c>
      <c r="F4" s="326" t="s">
        <v>360</v>
      </c>
      <c r="G4" s="326" t="s">
        <v>1445</v>
      </c>
      <c r="H4" s="191"/>
    </row>
    <row r="5" spans="1:8" ht="43.5">
      <c r="A5" s="191"/>
      <c r="B5" s="327" t="s">
        <v>1446</v>
      </c>
      <c r="C5" s="327">
        <v>309525</v>
      </c>
      <c r="D5" s="327" t="s">
        <v>1447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1448</v>
      </c>
      <c r="C6" s="327">
        <v>256875</v>
      </c>
      <c r="D6" s="327" t="s">
        <v>1449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1450</v>
      </c>
      <c r="C7" s="327">
        <v>257278</v>
      </c>
      <c r="D7" s="327" t="s">
        <v>1451</v>
      </c>
      <c r="E7" s="327" t="s">
        <v>238</v>
      </c>
      <c r="F7" s="327" t="s">
        <v>1452</v>
      </c>
      <c r="G7" s="328">
        <v>46235</v>
      </c>
      <c r="H7" s="191"/>
    </row>
    <row r="8" spans="1:8" ht="43.5">
      <c r="A8" s="191"/>
      <c r="B8" s="327" t="s">
        <v>1453</v>
      </c>
      <c r="C8" s="327">
        <v>261794</v>
      </c>
      <c r="D8" s="327" t="s">
        <v>1454</v>
      </c>
      <c r="E8" s="327" t="s">
        <v>238</v>
      </c>
      <c r="F8" s="327" t="s">
        <v>1452</v>
      </c>
      <c r="G8" s="328">
        <v>46082</v>
      </c>
      <c r="H8" s="191"/>
    </row>
    <row r="9" spans="1:8" ht="43.5">
      <c r="A9" s="191"/>
      <c r="B9" s="327" t="s">
        <v>1455</v>
      </c>
      <c r="C9" s="327">
        <v>257033</v>
      </c>
      <c r="D9" s="327" t="s">
        <v>1456</v>
      </c>
      <c r="E9" s="327" t="s">
        <v>238</v>
      </c>
      <c r="F9" s="327" t="s">
        <v>547</v>
      </c>
      <c r="G9" s="327" t="s">
        <v>1457</v>
      </c>
      <c r="H9" s="191"/>
    </row>
    <row r="10" spans="1:8" ht="43.5">
      <c r="A10" s="191"/>
      <c r="B10" s="327" t="s">
        <v>1458</v>
      </c>
      <c r="C10" s="327">
        <v>396578</v>
      </c>
      <c r="D10" s="327" t="s">
        <v>1459</v>
      </c>
      <c r="E10" s="327" t="s">
        <v>238</v>
      </c>
      <c r="F10" s="327" t="s">
        <v>547</v>
      </c>
      <c r="G10" s="327" t="s">
        <v>1457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1460</v>
      </c>
      <c r="C2" s="95" t="s">
        <v>1156</v>
      </c>
      <c r="D2" s="95" t="s">
        <v>1158</v>
      </c>
      <c r="E2" s="95" t="s">
        <v>1461</v>
      </c>
      <c r="F2" s="95" t="s">
        <v>1462</v>
      </c>
      <c r="G2" s="95" t="s">
        <v>1463</v>
      </c>
      <c r="H2" s="95" t="s">
        <v>1464</v>
      </c>
      <c r="I2" s="95" t="s">
        <v>1465</v>
      </c>
      <c r="J2" s="95" t="s">
        <v>1466</v>
      </c>
      <c r="K2" s="130" t="s">
        <v>1467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>
        <f>IF(FN_MC!B203="","*",FN_MC!B203)</f>
        <v>46034</v>
      </c>
      <c r="D206" s="120" t="str">
        <f>IF(FN_MC!D203="","*",FN_MC!D203)</f>
        <v>MARCOS (TF-520)</v>
      </c>
      <c r="E206" s="120" t="str">
        <f>IF(FN_MC!H203="","*",FN_MC!H203)</f>
        <v>TVI1</v>
      </c>
      <c r="F206" s="136" t="str">
        <f>IF(FN_MC!M203="","*",FN_MC!M203)</f>
        <v>TVI</v>
      </c>
      <c r="G206" s="120" t="str">
        <f>IF(FN_MC!I203="","*",FN_MC!I203)</f>
        <v>-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1" t="s">
        <v>1468</v>
      </c>
      <c r="D5" s="392"/>
      <c r="E5" s="392"/>
      <c r="F5" s="392"/>
      <c r="G5" s="392"/>
      <c r="H5" s="392"/>
      <c r="I5" s="392"/>
      <c r="J5" s="393"/>
      <c r="K5" s="394" t="s">
        <v>1469</v>
      </c>
      <c r="L5" s="395"/>
      <c r="M5" s="395"/>
      <c r="N5" s="395"/>
      <c r="O5" s="396" t="s">
        <v>1470</v>
      </c>
      <c r="P5" s="397"/>
      <c r="Q5" s="398"/>
    </row>
    <row r="6" spans="1:17" s="93" customFormat="1" ht="15.75" customHeight="1">
      <c r="A6" s="87" t="s">
        <v>1429</v>
      </c>
      <c r="B6" s="94" t="s">
        <v>1428</v>
      </c>
      <c r="C6" s="95" t="s">
        <v>1171</v>
      </c>
      <c r="D6" s="96" t="s">
        <v>1172</v>
      </c>
      <c r="E6" s="95" t="s">
        <v>1471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1472</v>
      </c>
      <c r="M6" s="138" t="s">
        <v>30</v>
      </c>
      <c r="N6" s="139" t="s">
        <v>1166</v>
      </c>
      <c r="O6" s="245" t="s">
        <v>1209</v>
      </c>
      <c r="P6" s="156"/>
      <c r="Q6" s="192" t="s">
        <v>1473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1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1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2</v>
      </c>
      <c r="P149" s="90"/>
      <c r="Q149" s="144" t="str">
        <f>IF($A$2=1,IF(FN_MC!BJ143="","*",FN_MC!BJ143),IF(FN_MC!BK143="","*",FN_MC!BK143))</f>
        <v>Solicitaram 1:30h de intervalo - Realizou 1 solda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73">
        <f>FN_MC!BH147</f>
        <v>1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73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1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1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2</v>
      </c>
      <c r="P165" s="90"/>
      <c r="Q165" s="144" t="str">
        <f>IF($A$2=1,IF(FN_MC!BJ159="","*",FN_MC!BJ159),IF(FN_MC!BK159="","*",FN_MC!BK159))</f>
        <v>Trocou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*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53">
        <f>IF(FN_MC!K173="","*",FN_MC!K173)</f>
        <v>730</v>
      </c>
      <c r="I179" s="131">
        <f>IF(FN_MC!O173="","*",FN_MC!O173)</f>
        <v>0.4375</v>
      </c>
      <c r="J179" s="131" t="str">
        <f>IF(FN_MC!P173="","*",FN_MC!P173)</f>
        <v>*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*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53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>
        <f>IF(FN_MC!B203="","*",FN_MC!B203)</f>
        <v>46034</v>
      </c>
      <c r="B209" s="98" t="str">
        <f>IF(FN_MC!X203="","*",FN_MC!X203)</f>
        <v>*</v>
      </c>
      <c r="C209" s="99" t="str">
        <f>IF(FN_MC!S203="","*",FN_MC!S203)</f>
        <v>FERRONORTE</v>
      </c>
      <c r="D209" s="99" t="str">
        <f>IF(FN_MC!T203="","*",FN_MC!T203)</f>
        <v>TMI-TCS</v>
      </c>
      <c r="E209" s="99" t="str">
        <f>IF(FN_MC!D203="","*",FN_MC!D203)</f>
        <v>MARCOS (TF-520)</v>
      </c>
      <c r="F209" s="99" t="str">
        <f>IF(FN_MC!H203="","*",FN_MC!H203)</f>
        <v>TVI1</v>
      </c>
      <c r="G209" s="99" t="str">
        <f>IF(FN_MC!M203="","*",FN_MC!M203)</f>
        <v>TVI</v>
      </c>
      <c r="H209" s="153">
        <f>IF(FN_MC!K203="","*",FN_MC!K203)</f>
        <v>227.6</v>
      </c>
      <c r="I209" s="131" t="str">
        <f>IF(FN_MC!O203="","*",FN_MC!O203)</f>
        <v>09;00</v>
      </c>
      <c r="J209" s="131">
        <f>IF(FN_MC!P203="","*",FN_MC!P203)</f>
        <v>8.3333333333333329E-2</v>
      </c>
      <c r="K209" s="140" t="str">
        <f>IF(FN_MC!AK203="","*",FN_MC!AK203)</f>
        <v>TVI1</v>
      </c>
      <c r="L209" s="140" t="str">
        <f>IF(FN_MC!AM203="","*",FN_MC!AM203)</f>
        <v>TVI</v>
      </c>
      <c r="M209" s="140">
        <f>IF(FN_MC!AP203="","*",FN_MC!AP203)</f>
        <v>227.6</v>
      </c>
      <c r="N209" s="140" t="str">
        <f>IF(FN_MC!AM203="","*",FN_MC!AM203)</f>
        <v>TVI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1473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2026-01-09T16:44:09Z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