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06" documentId="8_{B6337239-1A00-434D-AAD0-422EA1FEB5AE}" xr6:coauthVersionLast="47" xr6:coauthVersionMax="47" xr10:uidLastSave="{3A60F3E4-C462-4740-A753-7EC74BA5364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16" l="1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27" i="1" a="1"/>
  <c r="T127" i="1"/>
  <c r="E126" i="16" s="1"/>
  <c r="S127" i="1" a="1"/>
  <c r="S127" i="1"/>
  <c r="D126" i="16" s="1"/>
  <c r="A135" i="1"/>
  <c r="C135" i="1"/>
  <c r="G135" i="1"/>
  <c r="M135" i="1" a="1"/>
  <c r="M135" i="1"/>
  <c r="K134" i="16" s="1"/>
  <c r="N135" i="1" a="1"/>
  <c r="N135" i="1"/>
  <c r="L134" i="16" s="1"/>
  <c r="R135" i="1"/>
  <c r="S135" i="1" a="1"/>
  <c r="S135" i="1"/>
  <c r="D134" i="16" s="1"/>
  <c r="T135" i="1" a="1"/>
  <c r="T135" i="1"/>
  <c r="E134" i="16" s="1"/>
  <c r="U135" i="1"/>
  <c r="AI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/>
  <c r="BF135" i="1"/>
  <c r="BR135" i="1"/>
  <c r="BS135" i="1"/>
  <c r="A134" i="1"/>
  <c r="C134" i="1"/>
  <c r="G134" i="1"/>
  <c r="M134" i="1" a="1"/>
  <c r="M134" i="1"/>
  <c r="K133" i="16" s="1"/>
  <c r="N134" i="1" a="1"/>
  <c r="N134" i="1"/>
  <c r="L133" i="16" s="1"/>
  <c r="R134" i="1"/>
  <c r="R133" i="16" s="1"/>
  <c r="S134" i="1" a="1"/>
  <c r="S134" i="1"/>
  <c r="D133" i="16" s="1"/>
  <c r="T134" i="1" a="1"/>
  <c r="T134" i="1"/>
  <c r="E133" i="16" s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A150" i="1"/>
  <c r="N136" i="1" a="1"/>
  <c r="N136" i="1"/>
  <c r="L135" i="16" s="1"/>
  <c r="M136" i="1" a="1"/>
  <c r="M136" i="1"/>
  <c r="K135" i="16" s="1"/>
  <c r="M133" i="1" a="1"/>
  <c r="M133" i="1"/>
  <c r="K132" i="16" s="1"/>
  <c r="M137" i="1" a="1"/>
  <c r="M137" i="1"/>
  <c r="K136" i="16" s="1"/>
  <c r="M138" i="1" a="1"/>
  <c r="M138" i="1"/>
  <c r="K137" i="16" s="1"/>
  <c r="N133" i="1" a="1"/>
  <c r="N133" i="1"/>
  <c r="L132" i="16" s="1"/>
  <c r="N137" i="1" a="1"/>
  <c r="N137" i="1"/>
  <c r="L136" i="16" s="1"/>
  <c r="N138" i="1" a="1"/>
  <c r="N138" i="1"/>
  <c r="L137" i="16" s="1"/>
  <c r="N139" i="1" a="1"/>
  <c r="N139" i="1"/>
  <c r="L138" i="16" s="1"/>
  <c r="N140" i="1" a="1"/>
  <c r="N140" i="1"/>
  <c r="L139" i="16" s="1"/>
  <c r="A144" i="1"/>
  <c r="N119" i="1" a="1"/>
  <c r="N119" i="1"/>
  <c r="L118" i="16" s="1"/>
  <c r="H118" i="1" a="1"/>
  <c r="H118" i="1"/>
  <c r="I117" i="16" s="1"/>
  <c r="N118" i="1" a="1"/>
  <c r="N118" i="1"/>
  <c r="L117" i="16" s="1"/>
  <c r="AY124" i="1"/>
  <c r="AJ124" i="1"/>
  <c r="G124" i="1"/>
  <c r="A124" i="1"/>
  <c r="E123" i="11"/>
  <c r="D119" i="13"/>
  <c r="H122" i="1" a="1"/>
  <c r="H122" i="1"/>
  <c r="I121" i="16" s="1"/>
  <c r="AY115" i="1"/>
  <c r="G115" i="1"/>
  <c r="A115" i="1"/>
  <c r="E114" i="11"/>
  <c r="D110" i="13"/>
  <c r="T107" i="1" a="1"/>
  <c r="T107" i="1"/>
  <c r="E106" i="16" s="1"/>
  <c r="S107" i="1" a="1"/>
  <c r="S107" i="1"/>
  <c r="D106" i="16" s="1"/>
  <c r="N107" i="1" a="1"/>
  <c r="N107" i="1"/>
  <c r="L106" i="16" s="1"/>
  <c r="M107" i="1" a="1"/>
  <c r="M107" i="1"/>
  <c r="K106" i="16" s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E101" i="16" s="1"/>
  <c r="S102" i="1" a="1"/>
  <c r="S102" i="1"/>
  <c r="D101" i="16" s="1"/>
  <c r="N102" i="1" a="1"/>
  <c r="N102" i="1"/>
  <c r="L101" i="16" s="1"/>
  <c r="M102" i="1" a="1"/>
  <c r="M102" i="1"/>
  <c r="K101" i="16" s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3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3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 s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BB77" i="1" s="1"/>
  <c r="AK77" i="1"/>
  <c r="K77" i="11" s="1"/>
  <c r="AL77" i="1"/>
  <c r="AO77" i="1"/>
  <c r="BE77" i="1" s="1"/>
  <c r="AP77" i="1"/>
  <c r="M77" i="11" s="1"/>
  <c r="AQ77" i="1"/>
  <c r="BC77" i="1" a="1"/>
  <c r="BC77" i="1" s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 s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BB84" i="1" s="1"/>
  <c r="AJ84" i="1"/>
  <c r="AK84" i="1"/>
  <c r="K84" i="11" s="1"/>
  <c r="AL84" i="1"/>
  <c r="AO84" i="1"/>
  <c r="BE84" i="1" s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K100" i="11"/>
  <c r="BE101" i="1"/>
  <c r="M100" i="11"/>
  <c r="AQ101" i="1"/>
  <c r="BC101" i="1" a="1"/>
  <c r="BC101" i="1" s="1"/>
  <c r="BF101" i="1"/>
  <c r="BR101" i="1"/>
  <c r="BS101" i="1"/>
  <c r="BT101" i="1"/>
  <c r="A102" i="1"/>
  <c r="C102" i="1"/>
  <c r="G102" i="1"/>
  <c r="R102" i="1"/>
  <c r="R101" i="16" s="1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3" i="16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5" i="16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6" i="16" s="1"/>
  <c r="AI107" i="1"/>
  <c r="BB107" i="1" s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R108" i="16" s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K114" i="16" s="1"/>
  <c r="N115" i="1" a="1"/>
  <c r="N115" i="1" s="1"/>
  <c r="L114" i="16" s="1"/>
  <c r="R115" i="1"/>
  <c r="R114" i="16" s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R116" i="16" s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R118" i="1"/>
  <c r="R117" i="16" s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R119" i="1"/>
  <c r="R118" i="16" s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R125" i="16" s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R127" i="1"/>
  <c r="R126" i="16" s="1"/>
  <c r="AI127" i="1"/>
  <c r="BB127" i="1" s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R127" i="16" s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R128" i="16" s="1"/>
  <c r="S129" i="1" a="1"/>
  <c r="S129" i="1" s="1"/>
  <c r="D128" i="16" s="1"/>
  <c r="T129" i="1" a="1"/>
  <c r="T129" i="1" s="1"/>
  <c r="E128" i="16" s="1"/>
  <c r="AI129" i="1"/>
  <c r="BB129" i="1" s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R130" i="1"/>
  <c r="R129" i="16" s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R131" i="1"/>
  <c r="S131" i="1" a="1"/>
  <c r="S131" i="1" s="1"/>
  <c r="D130" i="16" s="1"/>
  <c r="T131" i="1" a="1"/>
  <c r="T131" i="1" s="1"/>
  <c r="E130" i="16" s="1"/>
  <c r="AI131" i="1"/>
  <c r="BB131" i="1" s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K131" i="11"/>
  <c r="M131" i="11"/>
  <c r="A133" i="1"/>
  <c r="C133" i="1"/>
  <c r="G133" i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K133" i="11"/>
  <c r="M133" i="11"/>
  <c r="BR134" i="1"/>
  <c r="BS134" i="1"/>
  <c r="BT134" i="1"/>
  <c r="K134" i="11"/>
  <c r="M134" i="11"/>
  <c r="A136" i="1"/>
  <c r="G136" i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G137" i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G138" i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40" i="16" s="1"/>
  <c r="N141" i="1" a="1"/>
  <c r="N141" i="1" s="1"/>
  <c r="L140" i="16" s="1"/>
  <c r="R141" i="1"/>
  <c r="R140" i="16" s="1"/>
  <c r="S141" i="1" a="1"/>
  <c r="S141" i="1" s="1"/>
  <c r="D140" i="16" s="1"/>
  <c r="T141" i="1" a="1"/>
  <c r="T141" i="1" s="1"/>
  <c r="E140" i="16" s="1"/>
  <c r="AI141" i="1"/>
  <c r="BB141" i="1" s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84" i="16" l="1"/>
  <c r="AM84" i="1"/>
  <c r="K77" i="16"/>
  <c r="AM77" i="1"/>
  <c r="K80" i="16"/>
  <c r="AM80" i="1"/>
  <c r="AJ88" i="1"/>
  <c r="BB86" i="1"/>
  <c r="BD81" i="1" a="1"/>
  <c r="BD81" i="1" s="1"/>
  <c r="BD78" i="1" a="1"/>
  <c r="BD78" i="1" s="1"/>
  <c r="AJ77" i="1"/>
  <c r="AJ129" i="1"/>
  <c r="AJ141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27" i="1"/>
  <c r="AJ119" i="1"/>
  <c r="BQ135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12" i="1"/>
  <c r="AJ107" i="1"/>
  <c r="BD85" i="1" a="1"/>
  <c r="BD85" i="1" s="1"/>
  <c r="BB83" i="1"/>
  <c r="BD82" i="1" a="1"/>
  <c r="BD82" i="1" s="1"/>
  <c r="AN70" i="1"/>
  <c r="BD68" i="1" a="1"/>
  <c r="BD68" i="1" s="1"/>
  <c r="AJ94" i="1"/>
  <c r="AN74" i="1"/>
  <c r="AN73" i="1"/>
  <c r="AN72" i="1"/>
  <c r="AN67" i="1"/>
  <c r="AJ131" i="1"/>
  <c r="AJ150" i="1"/>
  <c r="AJ126" i="1"/>
  <c r="AJ122" i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L83" i="11" s="1"/>
  <c r="K82" i="16"/>
  <c r="AM82" i="1"/>
  <c r="L82" i="11" s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N202" i="11" s="1"/>
  <c r="K202" i="16"/>
  <c r="AM160" i="1"/>
  <c r="L159" i="11" s="1"/>
  <c r="K159" i="16"/>
  <c r="AM159" i="1"/>
  <c r="K158" i="16"/>
  <c r="AM158" i="1"/>
  <c r="L157" i="11" s="1"/>
  <c r="K157" i="16"/>
  <c r="AM157" i="1"/>
  <c r="N156" i="11" s="1"/>
  <c r="K156" i="16"/>
  <c r="AM156" i="1"/>
  <c r="K155" i="16"/>
  <c r="AM155" i="1"/>
  <c r="L154" i="11" s="1"/>
  <c r="K154" i="16"/>
  <c r="AM154" i="1"/>
  <c r="L153" i="11" s="1"/>
  <c r="K153" i="16"/>
  <c r="AM153" i="1"/>
  <c r="K152" i="16"/>
  <c r="AM152" i="1"/>
  <c r="L151" i="11" s="1"/>
  <c r="K151" i="16"/>
  <c r="AM151" i="1"/>
  <c r="L150" i="11" s="1"/>
  <c r="K150" i="16"/>
  <c r="AM150" i="1"/>
  <c r="K149" i="16"/>
  <c r="AM149" i="1"/>
  <c r="L148" i="11" s="1"/>
  <c r="K148" i="16"/>
  <c r="AM148" i="1"/>
  <c r="N147" i="11" s="1"/>
  <c r="AM147" i="1"/>
  <c r="AM146" i="1"/>
  <c r="L145" i="11" s="1"/>
  <c r="AM145" i="1"/>
  <c r="L144" i="11" s="1"/>
  <c r="AM144" i="1"/>
  <c r="AM143" i="1"/>
  <c r="L142" i="11" s="1"/>
  <c r="AM142" i="1"/>
  <c r="L141" i="11" s="1"/>
  <c r="AM141" i="1"/>
  <c r="AM140" i="1"/>
  <c r="L139" i="11" s="1"/>
  <c r="AM139" i="1"/>
  <c r="N138" i="11" s="1"/>
  <c r="AM138" i="1"/>
  <c r="AM137" i="1"/>
  <c r="L136" i="11" s="1"/>
  <c r="AM136" i="1"/>
  <c r="L135" i="11" s="1"/>
  <c r="AM133" i="1"/>
  <c r="L132" i="11" s="1"/>
  <c r="AM131" i="1"/>
  <c r="L130" i="11" s="1"/>
  <c r="AM130" i="1"/>
  <c r="N129" i="11" s="1"/>
  <c r="AM129" i="1"/>
  <c r="AM128" i="1"/>
  <c r="L127" i="11" s="1"/>
  <c r="AM127" i="1"/>
  <c r="L126" i="11" s="1"/>
  <c r="AM126" i="1"/>
  <c r="AM125" i="1"/>
  <c r="L124" i="11" s="1"/>
  <c r="AM124" i="1"/>
  <c r="L123" i="11" s="1"/>
  <c r="AM123" i="1"/>
  <c r="AM122" i="1"/>
  <c r="L121" i="11" s="1"/>
  <c r="AM121" i="1"/>
  <c r="N120" i="11" s="1"/>
  <c r="AM120" i="1"/>
  <c r="AM119" i="1"/>
  <c r="L118" i="11" s="1"/>
  <c r="AM118" i="1"/>
  <c r="L117" i="11" s="1"/>
  <c r="AM117" i="1"/>
  <c r="AM116" i="1"/>
  <c r="L115" i="11" s="1"/>
  <c r="AM115" i="1"/>
  <c r="L114" i="11" s="1"/>
  <c r="AM114" i="1"/>
  <c r="AM113" i="1"/>
  <c r="L112" i="11" s="1"/>
  <c r="AM112" i="1"/>
  <c r="N111" i="11" s="1"/>
  <c r="AM111" i="1"/>
  <c r="AM110" i="1"/>
  <c r="L109" i="11" s="1"/>
  <c r="AM109" i="1"/>
  <c r="L108" i="11" s="1"/>
  <c r="AM108" i="1"/>
  <c r="AM107" i="1"/>
  <c r="L106" i="11" s="1"/>
  <c r="AM106" i="1"/>
  <c r="L105" i="11" s="1"/>
  <c r="AM105" i="1"/>
  <c r="AM104" i="1"/>
  <c r="L103" i="11" s="1"/>
  <c r="AM103" i="1"/>
  <c r="N102" i="11" s="1"/>
  <c r="AM102" i="1"/>
  <c r="L100" i="11"/>
  <c r="AM100" i="1"/>
  <c r="L99" i="11" s="1"/>
  <c r="AM99" i="1"/>
  <c r="K98" i="16"/>
  <c r="AM98" i="1"/>
  <c r="L97" i="11" s="1"/>
  <c r="K97" i="16"/>
  <c r="AM97" i="1"/>
  <c r="K96" i="16"/>
  <c r="AM96" i="1"/>
  <c r="K95" i="16"/>
  <c r="AM94" i="1"/>
  <c r="L94" i="11" s="1"/>
  <c r="K94" i="16"/>
  <c r="AM93" i="1"/>
  <c r="K93" i="16"/>
  <c r="AM92" i="1"/>
  <c r="K92" i="16"/>
  <c r="AM91" i="1"/>
  <c r="L91" i="11" s="1"/>
  <c r="K91" i="16"/>
  <c r="AM90" i="1"/>
  <c r="K90" i="16"/>
  <c r="AM89" i="1"/>
  <c r="K89" i="16"/>
  <c r="AM88" i="1"/>
  <c r="L88" i="11" s="1"/>
  <c r="K88" i="16"/>
  <c r="AM87" i="1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<sst xmlns="http://schemas.openxmlformats.org/spreadsheetml/2006/main" count="5146" uniqueCount="1490">
  <si>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</si>
  <si>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</si>
  <si>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</si>
  <si>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</si>
  <si>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</si>
  <si>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</si>
  <si>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</si>
  <si>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</si>
  <si>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</si>
  <si>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</si>
  <si>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</si>
  <si>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</si>
  <si>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</si>
  <si>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</si>
  <si>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</si>
  <si>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</si>
  <si>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</si>
  <si>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</si>
  <si>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</si>
  <si>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</si>
  <si>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</si>
  <si>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</si>
  <si>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</si>
  <si>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</si>
  <si>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</si>
  <si>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</si>
  <si>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</si>
  <si>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</si>
  <si>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</si>
  <si>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</si>
  <si>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</si>
  <si>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</si>
  <si>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</si>
  <si>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</si>
  <si>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</si>
  <si>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</si>
  <si>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</si>
  <si>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</si>
  <si>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</si>
  <si>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</si>
  <si>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</si>
  <si>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</si>
  <si>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</si>
  <si>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</si>
  <si>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</si>
  <si>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</si>
  <si>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</si>
  <si>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</si>
  <si>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</si>
  <si>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</si>
  <si>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</si>
  <si>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</si>
  <si>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</si>
  <si>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</si>
  <si>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</si>
  <si>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</si>
  <si>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</si>
  <si>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</si>
  <si>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</si>
  <si>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</si>
  <si>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</si>
  <si>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</si>
  <si>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</si>
  <si>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</si>
  <si>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</si>
  <si>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</si>
  <si>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</si>
  <si>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</si>
  <si>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</si>
  <si>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</si>
  <si>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</si>
  <si>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</si>
  <si>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</si>
  <si>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</si>
  <si>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</si>
  <si>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</si>
  <si>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</si>
  <si>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</si>
  <si>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</si>
  <si>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</si>
  <si>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</si>
  <si>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</si>
  <si>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</si>
  <si>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</si>
  <si>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</si>
  <si>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</si>
  <si>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</si>
  <si>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</si>
  <si>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</si>
  <si>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</si>
  <si>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</si>
  <si>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</si>
  <si>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</si>
  <si>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</si>
  <si>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</si>
  <si>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</si>
  <si>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</si>
  <si>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</si>
  <si>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</si>
  <si>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</si>
  <si>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</si>
  <si>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</si>
  <si>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</si>
  <si>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</si>
  <si>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</si>
  <si>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</si>
  <si>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</si>
  <si>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</si>
  <si>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</si>
  <si>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</si>
  <si>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</si>
  <si>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</si>
  <si>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</si>
  <si>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</si>
  <si>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</si>
  <si>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</si>
  <si>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</si>
  <si>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</si>
  <si>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</si>
  <si>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</si>
  <si>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</si>
  <si>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</si>
  <si>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</si>
  <si>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</si>
  <si>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</si>
  <si>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</si>
  <si>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</si>
  <si>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</si>
  <si>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</si>
  <si>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</si>
  <si>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</si>
  <si>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</si>
  <si>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</si>
  <si>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</si>
  <si>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</si>
  <si>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</si>
  <si>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</si>
  <si>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</si>
  <si>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</si>
  <si>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</si>
  <si>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</si>
  <si>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</si>
  <si>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</si>
  <si>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</si>
  <si>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</si>
  <si>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</si>
  <si>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</si>
  <si>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</si>
  <si>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</si>
  <si>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</si>
  <si>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</si>
  <si>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</si>
  <si>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</si>
  <si>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</si>
  <si>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</si>
  <si>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</si>
  <si>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</si>
  <si>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</si>
  <si>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</si>
  <si>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</si>
  <si>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</si>
  <si>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</si>
  <si>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</si>
  <si>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</si>
  <si>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</si>
  <si>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</si>
  <si>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</si>
  <si>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</si>
  <si>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</si>
  <si>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</si>
  <si>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</si>
  <si>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</si>
  <si>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</si>
  <si>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</si>
  <si>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</si>
  <si>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</si>
  <si>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</si>
  <si>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</si>
  <si>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</si>
  <si>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</si>
  <si>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</si>
  <si>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</si>
  <si>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</si>
  <si>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</si>
  <si>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</si>
  <si>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</si>
  <si>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</si>
  <si>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</si>
  <si>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</si>
  <si>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</si>
  <si>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</si>
  <si>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</si>
  <si>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</si>
  <si>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</si>
  <si>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</si>
  <si>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</si>
  <si>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</si>
  <si>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</si>
  <si>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</si>
  <si>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</si>
  <si>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</si>
  <si>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</si>
  <si>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</si>
  <si>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</si>
  <si>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</si>
  <si>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</si>
  <si>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</si>
  <si>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</si>
  <si>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</si>
  <si>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</si>
  <si>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</si>
  <si>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</si>
  <si>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</si>
  <si>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</si>
  <si>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</si>
  <si>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</si>
  <si>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</si>
  <si>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</si>
  <si>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</si>
  <si>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</si>
  <si>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</si>
  <si>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</si>
  <si>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</si>
  <si>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</si>
  <si>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</si>
  <si>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</si>
  <si>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</si>
  <si>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</si>
  <si>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</si>
  <si>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</si>
  <si>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</si>
  <si>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</si>
  <si>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</si>
  <si>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</si>
  <si>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</si>
  <si>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</si>
  <si>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</si>
  <si>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</si>
  <si>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</si>
  <si>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</si>
  <si>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</si>
  <si>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</si>
  <si>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</si>
  <si>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</si>
  <si>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</si>
  <si>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</si>
  <si>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</si>
  <si>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</si>
  <si>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</si>
  <si>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</si>
  <si>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</si>
  <si>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</si>
  <si>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</si>
  <si>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</si>
  <si>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</si>
  <si>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</si>
  <si>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</si>
  <si>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</si>
  <si>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</si>
  <si>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</si>
  <si>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</si>
  <si>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</si>
  <si>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</si>
  <si>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</si>
  <si>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</si>
  <si>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</si>
  <si>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</si>
  <si>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</si>
  <si>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</si>
  <si>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</si>
  <si>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</si>
  <si>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</si>
  <si>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</si>
  <si>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</si>
  <si>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</si>
  <si>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</si>
  <si>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</si>
  <si>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</si>
  <si>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</si>
  <si>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</si>
  <si>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</si>
  <si>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</si>
  <si>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</si>
  <si>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</si>
  <si>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</si>
  <si>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</si>
  <si>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</si>
  <si>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</si>
  <si>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</si>
  <si>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</si>
  <si>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</si>
  <si>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</si>
  <si>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</si>
  <si>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</si>
  <si>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</si>
  <si>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</si>
  <si>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</si>
  <si>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</si>
  <si>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</si>
  <si>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</si>
  <si>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</si>
  <si>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</si>
  <si>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</si>
  <si>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</si>
  <si>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</si>
  <si>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</si>
  <si>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</si>
  <si>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</si>
  <si>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</si>
  <si>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</si>
  <si>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</si>
  <si>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</si>
  <si>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</si>
  <si>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</si>
  <si>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</si>
  <si>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</si>
  <si>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</si>
  <si>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</si>
  <si>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</si>
  <si>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</si>
  <si>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</si>
  <si>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</si>
  <si>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</si>
  <si>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</si>
  <si>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</si>
  <si>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</si>
  <si>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</si>
  <si>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</si>
  <si>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</si>
  <si>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</si>
  <si>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</si>
  <si>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</si>
  <si>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</si>
  <si>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</si>
  <si>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</si>
  <si>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</si>
  <si>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</si>
  <si>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</si>
  <si>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</si>
  <si>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</si>
  <si>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</si>
  <si>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</si>
  <si>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</si>
  <si>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</si>
  <si>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</si>
  <si>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</si>
  <si>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</si>
  <si>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</si>
  <si>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</si>
  <si>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</si>
  <si>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</si>
  <si>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</si>
  <si>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</si>
  <si>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</si>
  <si>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</si>
  <si>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</si>
  <si>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</si>
  <si>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</si>
  <si>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</si>
  <si>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</si>
  <si>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</si>
  <si>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</si>
  <si>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</si>
  <si>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</si>
  <si>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</si>
  <si>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</si>
  <si>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</si>
  <si>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</si>
  <si>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</si>
  <si>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</si>
  <si>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</si>
  <si>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</si>
  <si>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</si>
  <si>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</si>
  <si>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</si>
  <si>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</si>
  <si>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</si>
  <si>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</si>
  <si>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</si>
  <si>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</si>
  <si>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</si>
  <si>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</si>
  <si>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</si>
  <si>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</si>
  <si>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</si>
  <si>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</si>
  <si>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</si>
  <si>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</si>
  <si>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</si>
  <si>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</si>
  <si>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</si>
  <si>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</si>
  <si>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</si>
  <si>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</si>
  <si>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</si>
  <si>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</si>
  <si>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</si>
  <si>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</si>
  <si>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</si>
  <si>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</si>
  <si>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</si>
  <si>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</si>
  <si>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</si>
  <si>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</si>
  <si>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</si>
  <si>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</si>
  <si>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</si>
  <si>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</si>
  <si>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</si>
  <si>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</si>
  <si>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</si>
  <si>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</si>
  <si>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</si>
  <si>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</si>
  <si>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</si>
  <si>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</si>
  <si>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</si>
  <si>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</si>
  <si>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</si>
  <si>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</si>
  <si>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</si>
  <si>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</si>
  <si>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</si>
  <si>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</si>
  <si>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</si>
  <si>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</si>
  <si>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</si>
  <si>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</si>
  <si>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</si>
  <si>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</si>
  <si>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</si>
  <si>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</si>
  <si>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</si>
  <si>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</si>
  <si>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</si>
  <si>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</si>
  <si>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</si>
  <si>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</si>
  <si>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</si>
  <si>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</si>
  <si>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</si>
  <si>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</si>
  <si>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</si>
  <si>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</si>
  <si>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</si>
  <si>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</si>
  <si>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</si>
  <si>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</si>
  <si>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</si>
  <si>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</si>
  <si>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</si>
  <si>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</si>
  <si>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</si>
  <si>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</si>
  <si>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</si>
  <si>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</si>
  <si>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</si>
  <si>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</si>
  <si>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</si>
  <si>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</si>
  <si>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</si>
  <si>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</si>
  <si>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</si>
  <si>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</si>
  <si>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</si>
  <si>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</si>
  <si>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</si>
  <si>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</si>
  <si>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</si>
  <si>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</si>
  <si>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</si>
  <si>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</si>
  <si>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</si>
  <si>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</si>
  <si>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</si>
  <si>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</si>
  <si>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</si>
  <si>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</si>
  <si>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</si>
  <si>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</si>
  <si>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</si>
  <si>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</si>
  <si>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</si>
  <si>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</si>
  <si>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</si>
  <si>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</si>
  <si>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</si>
  <si>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</si>
  <si>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</si>
  <si>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</si>
  <si>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</si>
  <si>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</si>
  <si>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</si>
  <si>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</si>
  <si>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</si>
  <si>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</si>
  <si>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</si>
  <si>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</si>
  <si>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</si>
  <si>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</si>
  <si>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</si>
  <si>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</si>
  <si>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</si>
  <si>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</si>
  <si>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</si>
  <si>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</si>
  <si>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</si>
  <si>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</si>
  <si>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</si>
  <si>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</si>
  <si>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</si>
  <si>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</si>
  <si>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</si>
  <si>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</si>
  <si>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</si>
  <si>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</si>
  <si>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</si>
  <si>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</si>
  <si>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</si>
  <si>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</si>
  <si>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</si>
  <si>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</si>
  <si>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</si>
  <si>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</si>
  <si>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</si>
  <si>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</si>
  <si>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</si>
  <si>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</si>
  <si>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</si>
  <si>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</si>
  <si>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</si>
  <si>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</si>
  <si>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</si>
  <si>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</si>
  <si>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</si>
  <si>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</si>
  <si>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</si>
  <si>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</si>
  <si>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</si>
  <si>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</si>
  <si>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</si>
  <si>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</si>
  <si>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</si>
  <si>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</si>
  <si>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</si>
  <si>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</si>
  <si>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</si>
  <si>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</si>
  <si>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</si>
  <si>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</si>
  <si>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</si>
  <si>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</si>
  <si>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</si>
  <si>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</si>
  <si>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</si>
  <si>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</si>
  <si>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</si>
  <si>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</si>
  <si>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</si>
  <si>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</si>
  <si>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</si>
  <si>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</si>
  <si>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</si>
  <si>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</si>
  <si>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</si>
  <si>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</si>
  <si>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</si>
  <si>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</si>
  <si>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</si>
  <si>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</si>
  <si>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</si>
  <si>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</si>
  <si>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</si>
  <si>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</si>
  <si>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</si>
  <si>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</si>
  <si>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</si>
  <si>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</si>
  <si>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</si>
  <si>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</si>
  <si>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</si>
  <si>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</si>
  <si>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</si>
  <si>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</si>
  <si>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</si>
  <si>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</si>
  <si>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</si>
  <si>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</si>
  <si>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</si>
  <si>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</si>
  <si>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</si>
  <si>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</si>
  <si>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</si>
  <si>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</si>
  <si>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</si>
  <si>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</si>
  <si>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</si>
  <si>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</si>
  <si>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</si>
  <si>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</si>
  <si>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</si>
  <si>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</si>
  <si>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</si>
  <si>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</si>
  <si>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</si>
  <si>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</si>
  <si>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</si>
  <si>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</si>
  <si>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</si>
  <si>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</si>
  <si>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</si>
  <si>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</si>
  <si>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</si>
  <si>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</si>
  <si>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</si>
  <si>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</si>
  <si>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</si>
  <si>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</si>
  <si>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</si>
  <si>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</si>
  <si>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</si>
  <si>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</si>
  <si>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</si>
  <si>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</si>
  <si>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</si>
  <si>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</si>
  <si>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</si>
  <si>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</si>
  <si>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</si>
  <si>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</si>
  <si>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</si>
  <si>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</si>
  <si>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</si>
  <si>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</si>
  <si>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</si>
  <si>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</si>
  <si>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</si>
  <si>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</si>
  <si>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</si>
  <si>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</si>
  <si>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</si>
  <si>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</si>
  <si>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</si>
  <si>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</si>
  <si>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</si>
  <si>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</si>
  <si>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</si>
  <si>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</si>
  <si>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</si>
  <si>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</si>
  <si>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</si>
  <si>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</si>
  <si>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</si>
  <si>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</si>
  <si>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</si>
  <si>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</si>
  <si>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</si>
  <si>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</si>
  <si>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</si>
  <si>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</si>
  <si>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</si>
  <si>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</si>
  <si>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</si>
  <si>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</si>
  <si>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</si>
  <si>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</si>
  <si>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</si>
  <si>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</si>
  <si>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</si>
  <si>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</si>
  <si>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</si>
  <si>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</si>
  <si>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</si>
  <si>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</si>
  <si>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</si>
  <si>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</si>
  <si>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</si>
  <si>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</si>
  <si>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</si>
  <si>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</si>
  <si>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</si>
  <si>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</si>
  <si>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</si>
  <si>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</si>
  <si>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</si>
  <si>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</si>
  <si>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</si>
  <si>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</si>
  <si>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</si>
  <si>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</si>
  <si>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</si>
  <si>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</si>
  <si>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</si>
  <si>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</si>
  <si>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</si>
  <si>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</si>
  <si>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</si>
  <si>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</si>
  <si>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</si>
  <si>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</si>
  <si>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</si>
  <si>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</si>
  <si>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</si>
  <si>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</si>
  <si>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</si>
  <si>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</si>
  <si>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</si>
  <si>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</si>
  <si>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</si>
  <si>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</si>
  <si>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</si>
  <si>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</si>
  <si>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</si>
  <si>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</si>
  <si>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</si>
  <si>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</si>
  <si>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</si>
  <si>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</si>
  <si>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</si>
  <si>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</si>
  <si>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</si>
  <si>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</si>
  <si>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</si>
  <si>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</si>
  <si>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</si>
  <si>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</si>
  <si>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</si>
  <si>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</si>
  <si>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</si>
  <si>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</si>
  <si>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</si>
  <si>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</si>
  <si>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</si>
  <si>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</si>
  <si>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</si>
  <si>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</si>
  <si>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</si>
  <si>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</si>
  <si>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</si>
  <si>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</si>
  <si>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</si>
  <si>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</si>
  <si>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</si>
  <si>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</si>
  <si>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</si>
  <si>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</si>
  <si>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</si>
  <si>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</si>
  <si>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</si>
  <si>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</si>
  <si>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</si>
  <si>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</si>
  <si>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</si>
  <si>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</si>
  <si>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</si>
  <si>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</si>
  <si>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</si>
  <si>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</si>
  <si>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</si>
  <si>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</si>
  <si>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</si>
  <si>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</si>
  <si>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</si>
  <si>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</si>
  <si>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</si>
  <si>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</si>
  <si>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</si>
  <si>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</si>
  <si>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</si>
  <si>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</si>
  <si>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</si>
  <si>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</si>
  <si>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</si>
  <si>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</si>
  <si>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</si>
  <si>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</si>
  <si>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</si>
  <si>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</si>
  <si>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</si>
  <si>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</si>
  <si>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</si>
  <si>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</si>
  <si>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</si>
  <si>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</si>
  <si>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</si>
  <si>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</si>
  <si>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</si>
  <si>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</si>
  <si>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</si>
  <si>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</si>
  <si>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</si>
  <si>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</si>
  <si>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</si>
  <si>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</si>
  <si>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</si>
  <si>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</si>
  <si>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</si>
  <si>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</si>
  <si>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</si>
  <si>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</si>
  <si>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</si>
  <si>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</si>
  <si>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</si>
  <si>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</si>
  <si>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</si>
  <si>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</si>
  <si>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</si>
  <si>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</si>
  <si>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</si>
  <si>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</si>
  <si>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</si>
  <si>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</si>
  <si>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</si>
  <si>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</si>
  <si>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</si>
  <si>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</si>
  <si>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</si>
  <si>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</si>
  <si>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</si>
  <si>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</si>
  <si>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</si>
  <si>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</si>
  <si>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</si>
  <si>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</si>
  <si>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</si>
  <si>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</si>
  <si>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</si>
  <si>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</si>
  <si>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</si>
  <si>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</si>
  <si>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</si>
  <si>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</si>
  <si>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</si>
  <si>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</si>
  <si>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</si>
  <si>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</si>
  <si>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</si>
  <si>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</si>
  <si>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</si>
  <si>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</si>
  <si>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</si>
  <si>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</si>
  <si>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</si>
  <si>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</si>
  <si>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</si>
  <si>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</si>
  <si>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</si>
  <si>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</si>
  <si>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</si>
  <si>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</si>
  <si>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</si>
  <si>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</si>
  <si>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</si>
  <si>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</si>
  <si>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</si>
  <si>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</si>
  <si>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</si>
  <si>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</si>
  <si>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</si>
  <si>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</si>
  <si>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</si>
  <si>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</si>
  <si>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</si>
  <si>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</si>
  <si>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</si>
  <si>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</si>
  <si>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</si>
  <si>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</si>
  <si>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</si>
  <si>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</si>
  <si>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</si>
  <si>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</si>
  <si>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</si>
  <si>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</si>
  <si>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</si>
  <si>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</si>
  <si>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</si>
  <si>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</si>
  <si>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</si>
  <si>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</si>
  <si>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</si>
  <si>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</si>
  <si>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</si>
  <si>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</si>
  <si>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</si>
  <si>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</si>
  <si>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</si>
  <si>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</si>
  <si>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</si>
  <si>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</si>
  <si>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</si>
  <si>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</si>
  <si>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</si>
  <si>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</si>
  <si>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</si>
  <si>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</si>
  <si>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</si>
  <si>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</si>
  <si>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</si>
  <si>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</si>
  <si>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</si>
  <si>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</si>
  <si>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</si>
  <si>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</si>
  <si>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</si>
  <si>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</si>
  <si>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</si>
  <si>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</si>
  <si>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</si>
  <si>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</si>
  <si>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</si>
  <si>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</si>
  <si>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</si>
  <si>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</si>
  <si>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</si>
  <si>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</si>
  <si>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</si>
  <si>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</si>
  <si>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</si>
  <si>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</si>
  <si>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</si>
  <si>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</si>
  <si>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</si>
  <si>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</si>
  <si>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</si>
  <si>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</si>
  <si>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</si>
  <si>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</si>
  <si>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</si>
  <si>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</si>
  <si>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</si>
  <si>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</si>
  <si>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</si>
  <si>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</si>
  <si>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</si>
  <si>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</si>
  <si>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</si>
  <si>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</si>
  <si>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</si>
  <si>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</si>
  <si>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</si>
  <si>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</si>
  <si>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</si>
  <si>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</si>
  <si>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</si>
  <si>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</si>
  <si>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</si>
  <si>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</si>
  <si>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</si>
  <si>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</si>
  <si>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</si>
  <si>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</si>
  <si>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</si>
  <si>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</si>
  <si>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</si>
  <si>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</si>
  <si>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</si>
  <si>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</si>
  <si>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</si>
  <si>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</si>
  <si>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</si>
  <si>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</si>
  <si>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</si>
  <si>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</si>
  <si>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</si>
  <si>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</si>
  <si>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</si>
  <si>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</si>
  <si>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</si>
  <si>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</si>
  <si>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</si>
  <si>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</si>
  <si>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</si>
  <si>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</si>
  <si>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</si>
  <si>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</si>
  <si>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</si>
  <si>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</si>
  <si>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</si>
  <si>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</si>
  <si>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</si>
  <si>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</si>
  <si>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</si>
  <si>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</si>
  <si>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</si>
  <si>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</si>
  <si>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</si>
  <si>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</si>
  <si>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</si>
  <si>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</si>
  <si>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</si>
  <si>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</si>
  <si>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</si>
  <si>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</si>
  <si>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</si>
  <si>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</si>
  <si>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</si>
  <si>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</si>
  <si>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</si>
  <si>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</si>
  <si>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</si>
  <si>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</si>
  <si>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</si>
  <si>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</si>
  <si>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</si>
  <si>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</si>
  <si>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</si>
  <si>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</si>
  <si>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</si>
  <si>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</si>
  <si>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</si>
  <si>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</si>
  <si>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</si>
  <si>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</si>
  <si>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</si>
  <si>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</si>
  <si>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</si>
  <si>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</si>
  <si>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</si>
  <si>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</si>
  <si>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</si>
  <si>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</si>
  <si>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</si>
  <si>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</si>
  <si>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</si>
  <si>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</si>
  <si>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</si>
  <si>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</si>
  <si>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</si>
  <si>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</si>
  <si>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</si>
  <si>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</si>
  <si>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</si>
  <si>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</si>
  <si>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</si>
  <si>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</si>
  <si>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</si>
  <si>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</si>
  <si>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</si>
  <si>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</si>
  <si>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</si>
  <si>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</si>
  <si>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</si>
  <si>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</si>
  <si>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</si>
  <si>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</si>
  <si>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</si>
  <si>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</si>
  <si>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</si>
  <si>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</si>
  <si>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</si>
  <si>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</si>
  <si>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</si>
  <si>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</si>
  <si>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</si>
  <si>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</si>
  <si>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</si>
  <si>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</si>
  <si>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</si>
  <si>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</si>
  <si>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</si>
  <si>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</si>
  <si>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</si>
  <si>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</si>
  <si>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</si>
  <si>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</si>
  <si>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</si>
  <si>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</si>
  <si>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</si>
  <si>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</si>
  <si>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</si>
  <si>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</si>
  <si>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</si>
  <si>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</si>
  <si>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</si>
  <si>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</si>
  <si>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</si>
  <si>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</si>
  <si>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</si>
  <si>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</si>
  <si>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</si>
  <si>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</si>
  <si>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</si>
  <si>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</si>
  <si>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</si>
  <si>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</si>
  <si>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</si>
  <si>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</si>
  <si>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</si>
  <si>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</si>
  <si>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</si>
  <si>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</si>
  <si>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</si>
  <si>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</si>
  <si>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</si>
  <si>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</si>
  <si>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</si>
  <si>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</si>
  <si>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</si>
  <si>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</si>
  <si>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</si>
  <si>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</si>
  <si>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</si>
  <si>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</si>
  <si>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</si>
  <si>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</si>
  <si>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</si>
  <si>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</si>
  <si>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</si>
  <si>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</si>
  <si>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</si>
  <si>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</si>
  <si>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</si>
  <si>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</si>
  <si>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</si>
  <si>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</si>
  <si>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</si>
  <si>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</si>
  <si>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</si>
  <si>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</si>
  <si>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</si>
  <si>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</si>
  <si>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</si>
  <si>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</si>
  <si>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</si>
  <si>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</si>
  <si>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</si>
  <si>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</si>
  <si>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</si>
  <si>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</si>
  <si>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</si>
  <si>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</si>
  <si>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</si>
  <si>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</si>
  <si>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</si>
  <si>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</si>
  <si>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</si>
  <si>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</si>
  <si>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</si>
  <si>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</si>
  <si>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</si>
  <si>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</si>
  <si>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</si>
  <si>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</si>
  <si>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</si>
  <si>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</si>
  <si>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</si>
  <si>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</si>
  <si>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</si>
  <si>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</si>
  <si>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</si>
  <si>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</si>
  <si>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</si>
  <si>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</si>
  <si>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</si>
  <si>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</si>
  <si>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</si>
  <si>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</si>
  <si>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</si>
  <si>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</si>
  <si>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</si>
  <si>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</si>
  <si>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</si>
  <si>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</si>
  <si>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</si>
  <si>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</si>
  <si>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</si>
  <si>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</si>
  <si>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</si>
  <si>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</si>
  <si>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</si>
  <si>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</si>
  <si>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</si>
  <si>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</si>
  <si>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</si>
  <si>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</si>
  <si>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</si>
  <si>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</si>
  <si>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</si>
  <si>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</si>
  <si>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</si>
  <si>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</si>
  <si>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</si>
  <si>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</si>
  <si>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</si>
  <si>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</si>
  <si>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</si>
  <si>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</si>
  <si>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</si>
  <si>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</si>
  <si>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</si>
  <si>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</si>
  <si>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</si>
  <si>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</si>
  <si>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</si>
  <si>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</si>
  <si>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</si>
  <si>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</si>
  <si>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</si>
  <si>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</si>
  <si>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</si>
  <si>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</si>
  <si>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</si>
  <si>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</si>
  <si>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</si>
  <si>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</si>
  <si>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</si>
  <si>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</si>
  <si>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</si>
  <si>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</si>
  <si>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</si>
  <si>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</si>
  <si>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</si>
  <si>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</si>
  <si>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</si>
  <si>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</si>
  <si>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</si>
  <si>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</si>
  <si>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</si>
  <si>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</si>
  <si>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</si>
  <si>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</si>
  <si>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</si>
  <si>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</si>
  <si>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</si>
  <si>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</si>
  <si>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</si>
  <si>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</si>
  <si>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</si>
  <si>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</si>
  <si>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</si>
  <si>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</si>
  <si>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</si>
  <si>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</si>
  <si>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</si>
  <si>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</si>
  <si>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</si>
  <si>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</si>
  <si>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</si>
  <si>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</si>
  <si>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</si>
  <si>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</si>
  <si>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</si>
  <si>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</si>
  <si>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</si>
  <si>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</si>
  <si>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</si>
  <si>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</si>
  <si>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</si>
  <si>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</si>
  <si>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</si>
  <si>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</si>
  <si>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</si>
  <si>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</si>
  <si>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</si>
  <si>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</si>
  <si>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</si>
  <si>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</si>
  <si>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</si>
  <si>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</si>
  <si>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</si>
  <si>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</si>
  <si>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</si>
  <si>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</si>
  <si>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</si>
  <si>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</si>
  <si>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</si>
  <si>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</si>
  <si>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</si>
  <si>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</si>
  <si>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</si>
  <si>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</si>
  <si>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</si>
  <si>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</si>
  <si>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</si>
  <si>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</si>
  <si>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</si>
  <si>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</si>
  <si>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</si>
  <si>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</si>
  <si>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</si>
  <si>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</si>
  <si>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</si>
  <si>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</si>
  <si>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</si>
  <si>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</si>
  <si>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</si>
  <si>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</si>
  <si>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</si>
  <si>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</si>
  <si>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</si>
  <si>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</si>
  <si>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</si>
  <si>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</si>
  <si>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</si>
  <si>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</si>
  <si>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</si>
  <si>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</si>
  <si>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</si>
  <si>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</si>
  <si>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</si>
  <si>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</si>
  <si>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</si>
  <si>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</si>
  <si>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</si>
  <si>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</si>
  <si>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</si>
  <si>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</si>
  <si>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</si>
  <si>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</si>
  <si>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</si>
  <si>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</si>
  <si>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</si>
  <si>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</si>
  <si>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</si>
  <si>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</si>
  <si>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</si>
  <si>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</si>
  <si>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</si>
  <si>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</si>
  <si>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</si>
  <si>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</si>
  <si>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</si>
  <si>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</si>
  <si>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</si>
  <si>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</si>
  <si>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</si>
  <si>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</si>
  <si>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</si>
  <si>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</si>
  <si>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</si>
  <si>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</si>
  <si>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</si>
  <si>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</si>
  <si>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</si>
  <si>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</si>
  <si>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</si>
  <si>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</si>
  <si>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</si>
  <si>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</si>
  <si>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</si>
  <si>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</si>
  <si>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</si>
  <si>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</si>
  <si>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</si>
  <si>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</si>
  <si>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</si>
  <si>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</si>
  <si>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</si>
  <si>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</si>
  <si>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</si>
  <si>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</si>
  <si>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</si>
  <si>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</si>
  <si>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</si>
  <si>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</si>
  <si>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</si>
  <si>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</si>
  <si>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</si>
  <si>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</si>
  <si>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</si>
  <si>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</si>
  <si>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</si>
  <si>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</si>
  <si>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</si>
  <si>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</si>
  <si>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</si>
  <si>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</si>
  <si>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</si>
  <si>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</si>
  <si>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</si>
  <si>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</si>
  <si>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</si>
  <si>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</si>
  <si>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</si>
  <si>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</si>
  <si>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</si>
  <si>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</si>
  <si>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</si>
  <si>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</si>
  <si>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</si>
  <si>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</si>
  <si>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</si>
  <si>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</si>
  <si>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</si>
  <si>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</si>
  <si>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</si>
  <si>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</si>
  <si>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</si>
  <si>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</si>
  <si>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</si>
  <si>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</si>
  <si>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</si>
  <si>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</si>
  <si>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</si>
  <si>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</si>
  <si>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</si>
  <si>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</si>
  <si>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</si>
  <si>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</si>
  <si>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</si>
  <si>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</si>
  <si>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</si>
  <si>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</si>
  <si>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</si>
  <si>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</si>
  <si>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</si>
  <si>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</si>
  <si>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</si>
  <si>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</si>
  <si>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</si>
  <si>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</si>
  <si>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</si>
  <si>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</si>
  <si>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</si>
  <si>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</si>
  <si>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</si>
  <si>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</si>
  <si>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</si>
  <si>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</si>
  <si>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</si>
  <si>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</si>
  <si>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</si>
  <si>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</si>
  <si>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</si>
  <si>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</si>
  <si>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</si>
  <si>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</si>
  <si>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</si>
  <si>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</si>
  <si>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</si>
  <si>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</si>
  <si>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 xml:space="preserve"> </t>
  </si>
  <si>
    <t>TIN-TCS</t>
  </si>
  <si>
    <t>74/093761-094842cv  8 barras</t>
  </si>
  <si>
    <t>2 (maicon + fiscal)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</si>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</sst>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BE1" activePane="topRight" state="frozen"/>
      <selection pane="topRight" activeCell="BJ804" sqref="BJ8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1400</v>
      </c>
      <c r="BK85" s="14" t="s">
        <v>1401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1402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1402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1403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1</v>
      </c>
      <c r="BI86" s="14"/>
      <c r="BJ86" s="14" t="s">
        <v>1404</v>
      </c>
      <c r="BK86" s="14" t="s">
        <v>1405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0.6722222222222225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1406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1407</v>
      </c>
      <c r="BK88" s="14" t="s">
        <v>1407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1408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1409</v>
      </c>
      <c r="BK91" s="14" t="s">
        <v>1409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1410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1409</v>
      </c>
      <c r="BK92" s="14" t="s">
        <v>1409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1411</v>
      </c>
      <c r="BK94" s="14" t="s">
        <v>1412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2</v>
      </c>
      <c r="BI96" s="14"/>
      <c r="BJ96" s="14" t="s">
        <v>1413</v>
      </c>
      <c r="BK96" s="14" t="s">
        <v>1413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>
        <v>0.50069444444444444</v>
      </c>
      <c r="AT97" s="32">
        <v>0.63194444444444442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0.13124999999999998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2</v>
      </c>
      <c r="BI97" s="14"/>
      <c r="BJ97" s="14" t="s">
        <v>1414</v>
      </c>
      <c r="BK97" s="14" t="s">
        <v>1415</v>
      </c>
      <c r="BL97" s="13"/>
      <c r="BM97" s="12"/>
      <c r="BN97" s="12"/>
      <c r="BO97" s="130"/>
      <c r="BP97" s="14"/>
      <c r="BQ97" s="10" t="str">
        <f t="shared" si="9"/>
        <v>Produção</v>
      </c>
      <c r="BR97" s="15">
        <f t="shared" si="10"/>
        <v>1.5749999999999997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1416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1417</v>
      </c>
      <c r="W98" s="135" t="s">
        <v>1418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>
        <v>0.51180555555555551</v>
      </c>
      <c r="AT98" s="32">
        <v>0.72013888888888888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0.20833333333333337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1419</v>
      </c>
      <c r="BK98" s="14" t="s">
        <v>1420</v>
      </c>
      <c r="BL98" s="13"/>
      <c r="BM98" s="12"/>
      <c r="BN98" s="12"/>
      <c r="BO98" s="130"/>
      <c r="BP98" s="14"/>
      <c r="BQ98" s="10" t="str">
        <f t="shared" si="9"/>
        <v>Produção</v>
      </c>
      <c r="BR98" s="15">
        <f t="shared" si="10"/>
        <v>1.666666666666667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1421</v>
      </c>
      <c r="W99" s="135" t="s">
        <v>1422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>
        <v>0.61250000000000004</v>
      </c>
      <c r="AT99" s="32">
        <v>0.65416666666666667</v>
      </c>
      <c r="AU99" s="32"/>
      <c r="AV99" s="32"/>
      <c r="AW99" s="32"/>
      <c r="AX99" s="32"/>
      <c r="AY99" s="184">
        <f>IF(D99="","*",IFERROR(IF(ISODD(COUNT(AS99:AX99)),"ERRO",SUM((AT99-AS99),(AV99-AU99),(AX99-AW99))),"ERRO"))</f>
        <v>4.166666666666663E-2</v>
      </c>
      <c r="AZ99" s="11"/>
      <c r="BA99" s="60">
        <v>1</v>
      </c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>
        <v>2</v>
      </c>
      <c r="BI99" s="14"/>
      <c r="BJ99" s="14" t="s">
        <v>1423</v>
      </c>
      <c r="BK99" s="14" t="s">
        <v>1424</v>
      </c>
      <c r="BL99" s="13"/>
      <c r="BM99" s="12"/>
      <c r="BN99" s="12"/>
      <c r="BO99" s="130"/>
      <c r="BP99" s="14"/>
      <c r="BQ99" s="10" t="str">
        <f t="shared" si="9"/>
        <v>Intervalo</v>
      </c>
      <c r="BR99" s="15">
        <f t="shared" si="10"/>
        <v>0.99999999999999911</v>
      </c>
      <c r="BS99" s="15">
        <f t="shared" si="11"/>
        <v>1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>E1446087</v>
      </c>
      <c r="B101" s="133">
        <v>46087</v>
      </c>
      <c r="C101" s="7">
        <f>IF(BS_CONTROLE[[#This Row],[DATA]]="","",WEEKNUM(BS_CONTROLE[[#This Row],[DATA]]))</f>
        <v>10</v>
      </c>
      <c r="D101" s="45" t="s">
        <v>149</v>
      </c>
      <c r="E101" s="185">
        <v>94</v>
      </c>
      <c r="F101" s="134" t="s">
        <v>107</v>
      </c>
      <c r="G101" s="8" t="str">
        <f>IF(D101="","*",VLOOKUP(F101,BS_ATIVIDADE[#All],3,FALSE))</f>
        <v>MECANIZAÇÃO - ESMERILHADORA</v>
      </c>
      <c r="H101" s="135" t="s">
        <v>1107</v>
      </c>
      <c r="I101" s="135" t="s">
        <v>1107</v>
      </c>
      <c r="J101" s="151">
        <v>103</v>
      </c>
      <c r="K101" s="151">
        <v>2155.152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1" s="135">
        <v>0.99930555555555556</v>
      </c>
      <c r="P101" s="135">
        <v>4.1666666666666664E-2</v>
      </c>
      <c r="Q101" s="71">
        <v>20000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199" t="str">
        <f>IFERROR(_xlfn.XLOOKUP(J101, BASE_MAPA!$B$2:$B$408, BASE_MAPA!$G$2:$G$408), "ERRO")</f>
        <v>OURO VERDE - LIGAÇÃO</v>
      </c>
      <c r="V101" s="143" t="s">
        <v>1238</v>
      </c>
      <c r="W101" s="213" t="s">
        <v>1425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0.91666666666666663</v>
      </c>
      <c r="AE101" s="71">
        <v>6245</v>
      </c>
      <c r="AF101" s="71">
        <v>6246</v>
      </c>
      <c r="AG101" s="71"/>
      <c r="AH101" s="42"/>
      <c r="AI101" s="119" t="str">
        <f>IF(BS_CONTROLE[[#This Row],[Atividade]]=0, "-", BS_CONTROLE[[#This Row],[Atividade]])</f>
        <v>MECANIZAÇÃO - ESMERILHADORA</v>
      </c>
      <c r="AJ101" s="8" t="str">
        <f>IF(D101="","*",VLOOKUP(AI101,BS_ATIVIDADE[#Data],3,FALSE))</f>
        <v>MECANIZAÇÃO - ESMERILHADORA</v>
      </c>
      <c r="AK101" s="175"/>
      <c r="AL101" s="175"/>
      <c r="AM101" s="175"/>
      <c r="AN101" s="175"/>
      <c r="AO101" s="176"/>
      <c r="AP101" s="177"/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Fernanda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/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0.57361111111111107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0.1555555555555555</v>
      </c>
      <c r="AZ102" s="11"/>
      <c r="BA102" s="60">
        <v>4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3</v>
      </c>
      <c r="BI102" s="14"/>
      <c r="BJ102" s="14" t="s">
        <v>1426</v>
      </c>
      <c r="BK102" s="222" t="s">
        <v>1427</v>
      </c>
      <c r="BL102" s="13"/>
      <c r="BM102" s="12"/>
      <c r="BN102" s="12"/>
      <c r="BO102" s="130"/>
      <c r="BP102" s="14"/>
      <c r="BQ102" s="10" t="str">
        <f t="shared" si="9"/>
        <v>Aderente</v>
      </c>
      <c r="BR102" s="15">
        <f t="shared" si="10"/>
        <v>1.244444444444444</v>
      </c>
      <c r="BS102" s="15">
        <f t="shared" si="11"/>
        <v>1.3333333333333333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 t="s">
        <v>1428</v>
      </c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 t="s">
        <v>1429</v>
      </c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1242</v>
      </c>
      <c r="W107" s="135" t="s">
        <v>1430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Antonioni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1431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 t="s">
        <v>1432</v>
      </c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151">
        <v>243</v>
      </c>
      <c r="L115" s="71">
        <v>245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243</v>
      </c>
      <c r="AQ115" s="177">
        <f>IF(BS_CONTROLE[[#This Row],[KM - Fim]]=0, "-", BS_CONTROLE[[#This Row],[KM - Fim]])</f>
        <v>245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1433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0.5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1422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152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1417</v>
      </c>
      <c r="W119" s="135" t="s">
        <v>1434</v>
      </c>
      <c r="X119" s="152" t="s">
        <v>378</v>
      </c>
      <c r="Y119" s="129"/>
      <c r="Z119" s="129"/>
      <c r="AA119" s="71" t="s">
        <v>1435</v>
      </c>
      <c r="AB119" s="59" t="s">
        <v>380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1242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Antonioni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>V8046089</v>
      </c>
      <c r="B127" s="133">
        <v>46089</v>
      </c>
      <c r="C127" s="7">
        <f>IF(BS_CONTROLE[[#This Row],[DATA]]="","",WEEKNUM(BS_CONTROLE[[#This Row],[DATA]]))</f>
        <v>11</v>
      </c>
      <c r="D127" s="45" t="s">
        <v>209</v>
      </c>
      <c r="E127" s="185">
        <v>123</v>
      </c>
      <c r="F127" s="134" t="s">
        <v>213</v>
      </c>
      <c r="G127" s="8" t="str">
        <f>IF(D127="","*",VLOOKUP(F127,BS_ATIVIDADE[#All],3,FALSE))</f>
        <v>OUTROS</v>
      </c>
      <c r="H127" s="135" t="s">
        <v>635</v>
      </c>
      <c r="I127" s="135" t="s">
        <v>682</v>
      </c>
      <c r="J127" s="151">
        <v>74</v>
      </c>
      <c r="K127" s="151">
        <v>291</v>
      </c>
      <c r="L127" s="71">
        <v>404</v>
      </c>
      <c r="M127" s="149" t="s">
        <v>1436</v>
      </c>
      <c r="N127" s="149" t="s">
        <v>1437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1422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>TCS2</v>
      </c>
      <c r="AL127" s="175" t="str">
        <f>IF(BS_CONTROLE[[#This Row],[Local - Encerramento]]=0, "-", BS_CONTROLE[[#This Row],[Local - Encerramento]])</f>
        <v>TOM</v>
      </c>
      <c r="AM127" s="175" t="str">
        <f>IF(BS_CONTROLE[[#This Row],[Entre - Estações]]=0, "-", BS_CONTROLE[[#This Row],[Entre - Estações]])</f>
        <v>TCS-TOM</v>
      </c>
      <c r="AN127" s="175" t="str">
        <f>IF(BS_CONTROLE[[#This Row],[SB]]=0, "-", BS_CONTROLE[[#This Row],[SB]])</f>
        <v>TCSTOM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291</v>
      </c>
      <c r="AQ127" s="177">
        <f>IF(BS_CONTROLE[[#This Row],[KM - Fim]]=0, "-", BS_CONTROLE[[#This Row],[KM - Fim]])</f>
        <v>404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Produção e Intervalo</v>
      </c>
      <c r="BR127" s="15">
        <f t="shared" si="10"/>
        <v>0</v>
      </c>
      <c r="BS127" s="15">
        <f t="shared" si="11"/>
        <v>0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245</v>
      </c>
      <c r="L128" s="71">
        <v>247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245</v>
      </c>
      <c r="AQ128" s="177">
        <f>IF(BS_CONTROLE[[#This Row],[KM - Fim]]=0, "-", BS_CONTROLE[[#This Row],[KM - Fim]])</f>
        <v>247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>V6646089</v>
      </c>
      <c r="B129" s="133">
        <v>46089</v>
      </c>
      <c r="C129" s="7">
        <f>IF(BS_CONTROLE[[#This Row],[DATA]]="","",WEEKNUM(BS_CONTROLE[[#This Row],[DATA]]))</f>
        <v>11</v>
      </c>
      <c r="D129" s="45" t="s">
        <v>192</v>
      </c>
      <c r="E129" s="185">
        <v>122</v>
      </c>
      <c r="F129" s="134" t="s">
        <v>235</v>
      </c>
      <c r="G129" s="8" t="str">
        <f>IF(D129="","*",VLOOKUP(F129,BS_ATIVIDADE[#All],3,FALSE))</f>
        <v>MODERNIZAÇÃO</v>
      </c>
      <c r="H129" s="135" t="s">
        <v>617</v>
      </c>
      <c r="I129" s="135" t="s">
        <v>617</v>
      </c>
      <c r="J129" s="151">
        <v>74</v>
      </c>
      <c r="K129" s="151">
        <v>155</v>
      </c>
      <c r="L129" s="71">
        <v>158.6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29" s="135">
        <v>0.39583333333333331</v>
      </c>
      <c r="P129" s="135">
        <v>8.3333333333333329E-2</v>
      </c>
      <c r="Q129" s="71">
        <v>600</v>
      </c>
      <c r="R129" s="9" t="str">
        <f>IFERROR(_xlfn.XLOOKUP(F129, BS_ATIVIDADE[ATIVIDADE],BS_ATIVIDADE[UNIDADE] ), "*")</f>
        <v>M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199" t="str">
        <f>IFERROR(_xlfn.XLOOKUP(J129, BASE_MAPA!$B$2:$B$408, BASE_MAPA!$G$2:$G$408), "ERRO")</f>
        <v>MARCO INICIAL - ALTO ARAGUAIA</v>
      </c>
      <c r="V129" s="143" t="s">
        <v>1273</v>
      </c>
      <c r="W129" s="135" t="s">
        <v>1388</v>
      </c>
      <c r="X129" s="152" t="s">
        <v>378</v>
      </c>
      <c r="Y129" s="129"/>
      <c r="Z129" s="129"/>
      <c r="AA129" s="71">
        <v>1</v>
      </c>
      <c r="AB129" s="59" t="s">
        <v>370</v>
      </c>
      <c r="AC129" s="59"/>
      <c r="AD129" s="135">
        <v>0.29166666666666669</v>
      </c>
      <c r="AE129" s="71">
        <v>6066</v>
      </c>
      <c r="AF129" s="71"/>
      <c r="AG129" s="71"/>
      <c r="AH129" s="42"/>
      <c r="AI129" s="119" t="str">
        <f>IF(BS_CONTROLE[[#This Row],[Atividade]]=0, "-", BS_CONTROLE[[#This Row],[Atividade]])</f>
        <v>MODERNIZAÇÃO - REGULAGEM</v>
      </c>
      <c r="AJ129" s="8" t="str">
        <f>IF(D129="","*",VLOOKUP(AI129,BS_ATIVIDADE[#Data],3,FALSE))</f>
        <v>MODERNIZAÇÃO</v>
      </c>
      <c r="AK129" s="175" t="str">
        <f>IF(BS_CONTROLE[[#This Row],[Local - Partida]]=0, "-", BS_CONTROLE[[#This Row],[Local - Partida]])</f>
        <v>TID</v>
      </c>
      <c r="AL129" s="175" t="str">
        <f>IF(BS_CONTROLE[[#This Row],[Local - Encerramento]]=0, "-", BS_CONTROLE[[#This Row],[Local - Encerramento]])</f>
        <v>TID</v>
      </c>
      <c r="AM129" s="175" t="str">
        <f>IF(BS_CONTROLE[[#This Row],[Entre - Estações]]=0, "-", BS_CONTROLE[[#This Row],[Entre - Estações]])</f>
        <v>TMO-TCE</v>
      </c>
      <c r="AN129" s="175" t="str">
        <f>IF(BS_CONTROLE[[#This Row],[SB]]=0, "-", BS_CONTROLE[[#This Row],[SB]])</f>
        <v>155TCE</v>
      </c>
      <c r="AO129" s="176">
        <f>IF(BS_CONTROLE[[#This Row],[SUB]]=0, "-", BS_CONTROLE[[#This Row],[SUB]])</f>
        <v>74</v>
      </c>
      <c r="AP129" s="177">
        <f>IF(BS_CONTROLE[[#This Row],[KM - Inicio]]=0, "-", BS_CONTROLE[[#This Row],[KM - Inicio]])</f>
        <v>155</v>
      </c>
      <c r="AQ129" s="177">
        <f>IF(BS_CONTROLE[[#This Row],[KM - Fim]]=0, "-", BS_CONTROLE[[#This Row],[KM - Fim]])</f>
        <v>158.6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M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200" t="str">
        <f>IFERROR(_xlfn.XLOOKUP(AO129, BASE_MAPA!$B$2:$B$408, BASE_MAPA!$G$2:$G$408), "ERRO")</f>
        <v>MARCO INICIAL - ALTO ARAGUAIA</v>
      </c>
      <c r="BF129" s="178" t="str">
        <f>IF(BS_CONTROLE[[#This Row],[Responsavel pelo boletim]]=0, "-", BS_CONTROLE[[#This Row],[Responsavel pelo boletim]])</f>
        <v>Augusto/ Efraim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Produção e Intervalo</v>
      </c>
      <c r="BR129" s="15">
        <f t="shared" si="10"/>
        <v>0</v>
      </c>
      <c r="BS129" s="15">
        <f t="shared" si="11"/>
        <v>0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/>
      <c r="M130" s="149"/>
      <c r="N130" s="149"/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/>
      <c r="M131" s="149"/>
      <c r="N131" s="149"/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ref="A134" si="13">D134&amp;B134</f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 t="shared" ref="A135" si="14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" si="15">IF(AND(BR135&lt;1,BS135&lt;1),"Produção e Intervalo",IF(BR135&lt;1,"Intervalo",IF(BS135&lt;1,"Produção","Aderente")))</f>
        <v>Aderente</v>
      </c>
      <c r="BR135" s="15" t="str">
        <f t="shared" ref="BR135" si="16">IF(OR(B135="",F135=""),"*",AY135/P135)</f>
        <v>*</v>
      </c>
      <c r="BS135" s="15" t="str">
        <f t="shared" ref="BS135" si="17"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 t="s">
        <v>709</v>
      </c>
      <c r="I141" s="135" t="s">
        <v>709</v>
      </c>
      <c r="J141" s="151">
        <v>74</v>
      </c>
      <c r="K141" s="151">
        <v>441</v>
      </c>
      <c r="L141" s="71">
        <v>446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>
        <v>0.41666666666666669</v>
      </c>
      <c r="P141" s="135">
        <v>8.3333333333333329E-2</v>
      </c>
      <c r="Q141" s="71">
        <v>17</v>
      </c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 t="s">
        <v>1248</v>
      </c>
      <c r="W141" s="135" t="s">
        <v>1438</v>
      </c>
      <c r="X141" s="152" t="s">
        <v>378</v>
      </c>
      <c r="Y141" s="129"/>
      <c r="Z141" s="129"/>
      <c r="AA141" s="71" t="s">
        <v>1375</v>
      </c>
      <c r="AB141" s="59" t="s">
        <v>370</v>
      </c>
      <c r="AC141" s="59"/>
      <c r="AD141" s="135">
        <v>0.29166666666666669</v>
      </c>
      <c r="AE141" s="71">
        <v>9292</v>
      </c>
      <c r="AF141" s="71">
        <v>9425</v>
      </c>
      <c r="AG141" s="71">
        <v>7632</v>
      </c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TGR2</v>
      </c>
      <c r="AL141" s="175" t="str">
        <f>IF(BS_CONTROLE[[#This Row],[Local - Encerramento]]=0, "-", BS_CONTROLE[[#This Row],[Local - Encerramento]])</f>
        <v>TGR2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>
        <f>IF(BS_CONTROLE[[#This Row],[KM - Fim]]=0, "-", BS_CONTROLE[[#This Row],[KM - Fim]])</f>
        <v>446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Elton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Produção e Intervalo</v>
      </c>
      <c r="BR150" s="15">
        <f t="shared" si="20"/>
        <v>0</v>
      </c>
      <c r="BS150" s="15">
        <f t="shared" si="21"/>
        <v>0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t="str">
        <f>D803&amp;B803</f>
        <v/>
      </c>
      <c r="C803" s="7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1439</v>
      </c>
    </row>
  </sheetData>
  <protectedRanges>
    <protectedRange sqref="J6:K6 J25:K802" name="Range1_8_1"/>
    <protectedRange sqref="O6:Q6 O25:Q802" name="Range1_9_1"/>
    <protectedRange sqref="V6:Y6 W24 V25:Y82 V83 X83:Y83 V109 X109:Y109 V110:Y802 V84:Y108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802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1441</v>
      </c>
      <c r="E3" s="186" t="s">
        <v>1442</v>
      </c>
      <c r="F3" s="186" t="s">
        <v>1443</v>
      </c>
      <c r="G3" s="186" t="s">
        <v>1444</v>
      </c>
      <c r="H3" s="186" t="s">
        <v>1445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1447</v>
      </c>
      <c r="D13" s="187">
        <v>9049</v>
      </c>
      <c r="E13" s="188">
        <v>46044</v>
      </c>
      <c r="F13" s="190" t="s">
        <v>1448</v>
      </c>
      <c r="G13" s="187" t="s">
        <v>1449</v>
      </c>
      <c r="H13" s="187"/>
    </row>
    <row r="14" spans="3:8">
      <c r="C14" s="187" t="s">
        <v>1447</v>
      </c>
      <c r="D14" s="187">
        <v>9044</v>
      </c>
      <c r="E14" s="188">
        <v>46044</v>
      </c>
      <c r="F14" s="190" t="s">
        <v>1450</v>
      </c>
      <c r="G14" s="187" t="s">
        <v>1451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1454</v>
      </c>
      <c r="C4" s="191" t="s">
        <v>1455</v>
      </c>
      <c r="D4" s="191" t="s">
        <v>1456</v>
      </c>
      <c r="E4" s="191" t="s">
        <v>1457</v>
      </c>
      <c r="F4" s="191" t="s">
        <v>547</v>
      </c>
      <c r="G4" s="191" t="s">
        <v>1458</v>
      </c>
    </row>
    <row r="5" spans="2:7">
      <c r="B5" s="192" t="s">
        <v>1459</v>
      </c>
      <c r="C5" s="192">
        <v>309525</v>
      </c>
      <c r="D5" s="192" t="s">
        <v>1460</v>
      </c>
      <c r="E5" s="192" t="s">
        <v>249</v>
      </c>
      <c r="F5" s="192" t="s">
        <v>1461</v>
      </c>
      <c r="G5" s="193">
        <v>46296</v>
      </c>
    </row>
    <row r="6" spans="2:7">
      <c r="B6" s="192" t="s">
        <v>1462</v>
      </c>
      <c r="C6" s="192">
        <v>257410</v>
      </c>
      <c r="D6" s="192" t="s">
        <v>1463</v>
      </c>
      <c r="E6" s="192" t="s">
        <v>249</v>
      </c>
      <c r="F6" s="192" t="s">
        <v>1461</v>
      </c>
      <c r="G6" s="193"/>
    </row>
    <row r="7" spans="2:7">
      <c r="B7" s="192" t="s">
        <v>1259</v>
      </c>
      <c r="C7" s="192">
        <v>256875</v>
      </c>
      <c r="D7" s="192" t="s">
        <v>1464</v>
      </c>
      <c r="E7" s="192" t="s">
        <v>249</v>
      </c>
      <c r="F7" s="192" t="s">
        <v>1461</v>
      </c>
      <c r="G7" s="193">
        <v>46296</v>
      </c>
    </row>
    <row r="8" spans="2:7">
      <c r="B8" s="192" t="s">
        <v>1465</v>
      </c>
      <c r="C8" s="192">
        <v>257278</v>
      </c>
      <c r="D8" s="192" t="s">
        <v>1466</v>
      </c>
      <c r="E8" s="192" t="s">
        <v>240</v>
      </c>
      <c r="F8" s="192" t="s">
        <v>1467</v>
      </c>
      <c r="G8" s="193">
        <v>46235</v>
      </c>
    </row>
    <row r="9" spans="2:7">
      <c r="B9" s="192" t="s">
        <v>1468</v>
      </c>
      <c r="C9" s="192">
        <v>257033</v>
      </c>
      <c r="D9" s="192" t="s">
        <v>1469</v>
      </c>
      <c r="E9" s="192" t="s">
        <v>240</v>
      </c>
      <c r="F9" s="192" t="s">
        <v>564</v>
      </c>
      <c r="G9" s="192" t="s">
        <v>1470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1472</v>
      </c>
      <c r="B2" s="91" t="s">
        <v>1473</v>
      </c>
      <c r="C2" s="91" t="s">
        <v>7</v>
      </c>
      <c r="D2" s="92" t="s">
        <v>1175</v>
      </c>
      <c r="E2" s="92" t="s">
        <v>547</v>
      </c>
      <c r="F2" s="92" t="s">
        <v>1474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Oportunidade</v>
      </c>
      <c r="C100" s="95" t="str">
        <f>IF(FN_MC!Z101="","*",FN_MC!Z101)</f>
        <v>*</v>
      </c>
      <c r="D100" s="96" t="str">
        <f>IF(FN_MC!S101="","*",FN_MC!S101)</f>
        <v>MALHA CENTRAL</v>
      </c>
      <c r="E100" s="96" t="str">
        <f>IF(FN_MC!T101="","*",FN_MC!T101)</f>
        <v>PRV-POV</v>
      </c>
      <c r="F100" s="96">
        <f>IF(FN_MC!B101="","*",FN_MC!B101)</f>
        <v>46087</v>
      </c>
      <c r="G100" s="96" t="str">
        <f>IF(FN_MC!D101="","*",FN_MC!D101)</f>
        <v>E14</v>
      </c>
      <c r="H100" s="96" t="str">
        <f>IF(FN_MC!F101="","*",FN_MC!F101)</f>
        <v>MECANIZAÇÃO - ESMERILHADORA</v>
      </c>
      <c r="I100" s="96" t="str">
        <f>IF(FN_MC!H101="","*",FN_MC!H101)</f>
        <v>PIT2</v>
      </c>
      <c r="J100" s="96" t="str">
        <f>IF(FN_MC!I101="","*",FN_MC!I101)</f>
        <v>PIT2</v>
      </c>
      <c r="K100" s="96" t="str">
        <f>IF(FN_MC!M101="","*",FN_MC!M101)</f>
        <v>POU-ZPD</v>
      </c>
      <c r="L100" s="196" t="str">
        <f>IF(FN_MC!N101="","*",FN_MC!N101)</f>
        <v>175POU</v>
      </c>
      <c r="M100" s="97">
        <f>IF(FN_MC!J101="","*",FN_MC!J101)</f>
        <v>103</v>
      </c>
      <c r="N100" s="183">
        <f>IF(FN_MC!K101="","*",FN_MC!K101)</f>
        <v>2155.152</v>
      </c>
      <c r="O100" s="183" t="str">
        <f>IF(FN_MC!L101="","*",FN_MC!L101)</f>
        <v>-</v>
      </c>
      <c r="P100" s="107">
        <f>IF(FN_MC!O101="","*",FN_MC!O101)</f>
        <v>0.99930555555555556</v>
      </c>
      <c r="Q100" s="107">
        <f>IF(FN_MC!P101="","*",FN_MC!P101)</f>
        <v>4.1666666666666664E-2</v>
      </c>
      <c r="R100" s="96" t="str">
        <f>IF(FN_MC!Q101="","*",CONCATENATE(FN_MC!Q101," ",FN_MC!R101))</f>
        <v>20000 M</v>
      </c>
      <c r="S100" s="96" t="str">
        <f>IF(FN_MC!V101="","*",FN_MC!V101)</f>
        <v>Fernanda</v>
      </c>
      <c r="T100" s="96" t="str">
        <f>IF(FN_MC!W101="","*",FN_MC!W101)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Antonioni</v>
      </c>
      <c r="T106" s="96" t="str">
        <f>IF(FN_MC!W107="","*",FN_MC!W107)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 xml:space="preserve"> 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243</v>
      </c>
      <c r="O114" s="183">
        <f>IF(FN_MC!L115="","*",FN_MC!L115)</f>
        <v>245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0.5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Antonioni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Oportunidade</v>
      </c>
      <c r="C126" s="95" t="str">
        <f>IF(FN_MC!Z127="","*",FN_MC!Z127)</f>
        <v>*</v>
      </c>
      <c r="D126" s="96" t="str">
        <f>IF(FN_MC!S127="","*",FN_MC!S127)</f>
        <v>FERRONORTE</v>
      </c>
      <c r="E126" s="96" t="str">
        <f>IF(FN_MC!T127="","*",FN_MC!T127)</f>
        <v>TCS-TGR</v>
      </c>
      <c r="F126" s="96">
        <f>IF(FN_MC!B127="","*",FN_MC!B127)</f>
        <v>46089</v>
      </c>
      <c r="G126" s="96" t="str">
        <f>IF(FN_MC!D127="","*",FN_MC!D127)</f>
        <v>V80</v>
      </c>
      <c r="H126" s="96" t="str">
        <f>IF(FN_MC!F127="","*",FN_MC!F127)</f>
        <v>INSPEÇÃO RIV</v>
      </c>
      <c r="I126" s="96" t="str">
        <f>IF(FN_MC!H127="","*",FN_MC!H127)</f>
        <v>TCS2</v>
      </c>
      <c r="J126" s="96" t="str">
        <f>IF(FN_MC!I127="","*",FN_MC!I127)</f>
        <v>TOM</v>
      </c>
      <c r="K126" s="96" t="str">
        <f>IF(FN_MC!M127="","*",FN_MC!M127)</f>
        <v>TCS-TOM</v>
      </c>
      <c r="L126" s="196" t="str">
        <f>IF(FN_MC!N127="","*",FN_MC!N127)</f>
        <v>TCSTOM</v>
      </c>
      <c r="M126" s="97">
        <f>IF(FN_MC!J127="","*",FN_MC!J127)</f>
        <v>74</v>
      </c>
      <c r="N126" s="183">
        <f>IF(FN_MC!K127="","*",FN_MC!K127)</f>
        <v>291</v>
      </c>
      <c r="O126" s="183">
        <f>IF(FN_MC!L127="","*",FN_MC!L127)</f>
        <v>404</v>
      </c>
      <c r="P126" s="107">
        <f>IF(FN_MC!O127="","*",FN_MC!O127)</f>
        <v>0.45833333333333331</v>
      </c>
      <c r="Q126" s="107">
        <f>IF(FN_MC!P127="","*",FN_MC!P127)</f>
        <v>4.1666666666666664E-2</v>
      </c>
      <c r="R126" s="96" t="str">
        <f>IF(FN_MC!Q127="","*",CONCATENATE(FN_MC!Q127," ",FN_MC!R127))</f>
        <v>1 BINÁRIO</v>
      </c>
      <c r="S126" s="96" t="str">
        <f>IF(FN_MC!V127="","*",FN_MC!V127)</f>
        <v>Fernanda</v>
      </c>
      <c r="T126" s="96" t="str">
        <f>IF(FN_MC!W127="","*",FN_MC!W127)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245</v>
      </c>
      <c r="O127" s="183">
        <f>IF(FN_MC!L128="","*",FN_MC!L128)</f>
        <v>247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Oportunidade</v>
      </c>
      <c r="C128" s="95" t="str">
        <f>IF(FN_MC!Z129="","*",FN_MC!Z129)</f>
        <v>*</v>
      </c>
      <c r="D128" s="96" t="str">
        <f>IF(FN_MC!S129="","*",FN_MC!S129)</f>
        <v>FERRONORTE</v>
      </c>
      <c r="E128" s="96" t="str">
        <f>IF(FN_MC!T129="","*",FN_MC!T129)</f>
        <v>TMI-TCS</v>
      </c>
      <c r="F128" s="96">
        <f>IF(FN_MC!B129="","*",FN_MC!B129)</f>
        <v>46089</v>
      </c>
      <c r="G128" s="96" t="str">
        <f>IF(FN_MC!D129="","*",FN_MC!D129)</f>
        <v>V66</v>
      </c>
      <c r="H128" s="96" t="str">
        <f>IF(FN_MC!F129="","*",FN_MC!F129)</f>
        <v>MODERNIZAÇÃO - REGULAGEM</v>
      </c>
      <c r="I128" s="96" t="str">
        <f>IF(FN_MC!H129="","*",FN_MC!H129)</f>
        <v>TID</v>
      </c>
      <c r="J128" s="96" t="str">
        <f>IF(FN_MC!I129="","*",FN_MC!I129)</f>
        <v>TID</v>
      </c>
      <c r="K128" s="96" t="str">
        <f>IF(FN_MC!M129="","*",FN_MC!M129)</f>
        <v>TMO-TCE</v>
      </c>
      <c r="L128" s="196" t="str">
        <f>IF(FN_MC!N129="","*",FN_MC!N129)</f>
        <v>155TCE</v>
      </c>
      <c r="M128" s="97">
        <f>IF(FN_MC!J129="","*",FN_MC!J129)</f>
        <v>74</v>
      </c>
      <c r="N128" s="183">
        <f>IF(FN_MC!K129="","*",FN_MC!K129)</f>
        <v>155</v>
      </c>
      <c r="O128" s="183">
        <f>IF(FN_MC!L129="","*",FN_MC!L129)</f>
        <v>158.6</v>
      </c>
      <c r="P128" s="107">
        <f>IF(FN_MC!O129="","*",FN_MC!O129)</f>
        <v>0.39583333333333331</v>
      </c>
      <c r="Q128" s="107">
        <f>IF(FN_MC!P129="","*",FN_MC!P129)</f>
        <v>8.3333333333333329E-2</v>
      </c>
      <c r="R128" s="96" t="str">
        <f>IF(FN_MC!Q129="","*",CONCATENATE(FN_MC!Q129," ",FN_MC!R129))</f>
        <v>600 M</v>
      </c>
      <c r="S128" s="96" t="str">
        <f>IF(FN_MC!V129="","*",FN_MC!V129)</f>
        <v>Augusto/ Efraim</v>
      </c>
      <c r="T128" s="96" t="str">
        <f>IF(FN_MC!W129="","*",FN_MC!W129)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*</v>
      </c>
      <c r="L129" s="196" t="str">
        <f>IF(FN_MC!N130="","*",FN_MC!N130)</f>
        <v>*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*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*</v>
      </c>
      <c r="L130" s="196" t="str">
        <f>IF(FN_MC!N131="","*",FN_MC!N131)</f>
        <v>*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*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Oportunidade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TGR2</v>
      </c>
      <c r="J140" s="96" t="str">
        <f>IF(FN_MC!I141="","*",FN_MC!I141)</f>
        <v>TGR2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>
        <f>IF(FN_MC!L141="","*",FN_MC!L141)</f>
        <v>446</v>
      </c>
      <c r="P140" s="107">
        <f>IF(FN_MC!O141="","*",FN_MC!O141)</f>
        <v>0.41666666666666669</v>
      </c>
      <c r="Q140" s="107">
        <f>IF(FN_MC!P141="","*",FN_MC!P141)</f>
        <v>8.3333333333333329E-2</v>
      </c>
      <c r="R140" s="96" t="str">
        <f>IF(FN_MC!Q141="","*",CONCATENATE(FN_MC!Q141," ",FN_MC!R141))</f>
        <v>17 VAGÕES</v>
      </c>
      <c r="S140" s="96" t="str">
        <f>IF(FN_MC!V141="","*",FN_MC!V141)</f>
        <v>Elton</v>
      </c>
      <c r="T140" s="96" t="str">
        <f>IF(FN_MC!W141="","*",FN_MC!W141)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1476</v>
      </c>
      <c r="D5" s="242"/>
      <c r="E5" s="242"/>
      <c r="F5" s="242"/>
      <c r="G5" s="242"/>
      <c r="H5" s="242"/>
      <c r="I5" s="242"/>
      <c r="J5" s="243"/>
      <c r="K5" s="244" t="s">
        <v>1477</v>
      </c>
      <c r="L5" s="245"/>
      <c r="M5" s="245"/>
      <c r="N5" s="245"/>
      <c r="O5" s="246" t="s">
        <v>1478</v>
      </c>
      <c r="P5" s="247"/>
      <c r="Q5" s="248"/>
    </row>
    <row r="6" spans="1:17" s="81" customFormat="1" ht="15.75" customHeight="1">
      <c r="A6" s="75" t="s">
        <v>1474</v>
      </c>
      <c r="B6" s="82" t="s">
        <v>1473</v>
      </c>
      <c r="C6" s="83" t="s">
        <v>1175</v>
      </c>
      <c r="D6" s="84" t="s">
        <v>1176</v>
      </c>
      <c r="E6" s="83" t="s">
        <v>1479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1480</v>
      </c>
      <c r="M6" s="116" t="s">
        <v>29</v>
      </c>
      <c r="N6" s="117" t="s">
        <v>1170</v>
      </c>
      <c r="O6" s="165" t="s">
        <v>1213</v>
      </c>
      <c r="P6" s="128"/>
      <c r="Q6" s="139" t="s">
        <v>1481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2</v>
      </c>
      <c r="P85" s="78"/>
      <c r="Q85" s="120" t="str">
        <f>IF($A$2=1,IF(FN_MC!#REF!="","*",FN_MC!#REF!),IF(FN_MC!BK85="","*",FN_MC!BK85))</f>
        <v>MC1 as 06:30h - Em intervalo das 14:35h as 15:05h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1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2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2</v>
      </c>
      <c r="P96" s="78"/>
      <c r="Q96" s="120" t="str">
        <f>IF($A$2=1,IF(FN_MC!BJ97="","*",FN_MC!BJ97),IF(FN_MC!BK97="","*",FN_MC!BK97))</f>
        <v>Previsão de MC1 as 09:18h, em intervalo das 12:01h as 15:10h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1</v>
      </c>
      <c r="P97" s="78"/>
      <c r="Q97" s="120" t="str">
        <f>IF($A$2=1,IF(FN_MC!BJ98="","*",FN_MC!BJ98),IF(FN_MC!BK98="","*",FN_MC!BK98))</f>
        <v>MC1 11:29h, em intervalo das 12:17h as 17:17h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2</v>
      </c>
      <c r="P98" s="78"/>
      <c r="Q98" s="120" t="str">
        <f>IF($A$2=1,IF(FN_MC!BJ99="","*",FN_MC!BJ99),IF(FN_MC!BK99="","*",FN_MC!BK99))</f>
        <v>MC1 10:27h - Em inspeção as 14:42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>
        <f>IF(FN_MC!B101="","*",FN_MC!B101)</f>
        <v>46087</v>
      </c>
      <c r="B100" s="86" t="str">
        <f>IF(FN_MC!X101="","*",FN_MC!X101)</f>
        <v>Oportunidade</v>
      </c>
      <c r="C100" s="87" t="str">
        <f>IF(FN_MC!S101="","*",FN_MC!S101)</f>
        <v>MALHA CENTRAL</v>
      </c>
      <c r="D100" s="87" t="str">
        <f>IF(FN_MC!T101="","*",FN_MC!T101)</f>
        <v>PRV-POV</v>
      </c>
      <c r="E100" s="87" t="str">
        <f>IF(FN_MC!D101="","*",FN_MC!D101)</f>
        <v>E14</v>
      </c>
      <c r="F100" s="87" t="str">
        <f>IF(FN_MC!H101="","*",FN_MC!H101)</f>
        <v>PIT2</v>
      </c>
      <c r="G100" s="87" t="str">
        <f>IF(FN_MC!M101="","*",FN_MC!M101)</f>
        <v>POU-ZPD</v>
      </c>
      <c r="H100" s="125">
        <f>IF(FN_MC!K101="","*",FN_MC!K101)</f>
        <v>2155.152</v>
      </c>
      <c r="I100" s="110">
        <f>IF(FN_MC!O101="","*",FN_MC!O101)</f>
        <v>0.99930555555555556</v>
      </c>
      <c r="J100" s="110">
        <f>IF(FN_MC!P101="","*",FN_MC!P101)</f>
        <v>4.1666666666666664E-2</v>
      </c>
      <c r="K100" s="118" t="str">
        <f>IF(FN_MC!AK101="","*",FN_MC!AK101)</f>
        <v>*</v>
      </c>
      <c r="L100" s="118" t="str">
        <f>IF(FN_MC!AM101="","*",FN_MC!AM101)</f>
        <v>*</v>
      </c>
      <c r="M100" s="118" t="str">
        <f>IF(FN_MC!AP101="","*",FN_MC!AP101)</f>
        <v>*</v>
      </c>
      <c r="N100" s="118" t="str">
        <f>IF(FN_MC!AM101="","*",FN_MC!AM101)</f>
        <v>*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3</v>
      </c>
      <c r="P101" s="78"/>
      <c r="Q101" s="120" t="str">
        <f>IF($A$2=1,IF(FN_MC!BJ102="","*",FN_MC!BJ102),IF(FN_MC!BK102="","*",FN_MC!BK102))</f>
        <v>MC1 as 08:10 - Em intervalo das 10:02h as 13:46h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243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243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0.5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>
        <f>IF(FN_MC!B127="","*",FN_MC!B127)</f>
        <v>46089</v>
      </c>
      <c r="B126" s="86" t="str">
        <f>IF(FN_MC!X127="","*",FN_MC!X127)</f>
        <v>Oportunidade</v>
      </c>
      <c r="C126" s="87" t="str">
        <f>IF(FN_MC!S127="","*",FN_MC!S127)</f>
        <v>FERRONORTE</v>
      </c>
      <c r="D126" s="87" t="str">
        <f>IF(FN_MC!T127="","*",FN_MC!T127)</f>
        <v>TCS-TGR</v>
      </c>
      <c r="E126" s="87" t="str">
        <f>IF(FN_MC!D127="","*",FN_MC!D127)</f>
        <v>V80</v>
      </c>
      <c r="F126" s="87" t="str">
        <f>IF(FN_MC!H127="","*",FN_MC!H127)</f>
        <v>TCS2</v>
      </c>
      <c r="G126" s="87" t="str">
        <f>IF(FN_MC!M127="","*",FN_MC!M127)</f>
        <v>TCS-TOM</v>
      </c>
      <c r="H126" s="125">
        <f>IF(FN_MC!K127="","*",FN_MC!K127)</f>
        <v>291</v>
      </c>
      <c r="I126" s="110">
        <f>IF(FN_MC!O127="","*",FN_MC!O127)</f>
        <v>0.45833333333333331</v>
      </c>
      <c r="J126" s="110">
        <f>IF(FN_MC!P127="","*",FN_MC!P127)</f>
        <v>4.1666666666666664E-2</v>
      </c>
      <c r="K126" s="118" t="str">
        <f>IF(FN_MC!AK127="","*",FN_MC!AK127)</f>
        <v>TCS2</v>
      </c>
      <c r="L126" s="118" t="str">
        <f>IF(FN_MC!AM127="","*",FN_MC!AM127)</f>
        <v>TCS-TOM</v>
      </c>
      <c r="M126" s="118">
        <f>IF(FN_MC!AP127="","*",FN_MC!AP127)</f>
        <v>291</v>
      </c>
      <c r="N126" s="118" t="str">
        <f>IF(FN_MC!AM127="","*",FN_MC!AM127)</f>
        <v>TCS-TOM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245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245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>
        <f>IF(FN_MC!B129="","*",FN_MC!B129)</f>
        <v>46089</v>
      </c>
      <c r="B128" s="86" t="str">
        <f>IF(FN_MC!X129="","*",FN_MC!X129)</f>
        <v>Oportunidade</v>
      </c>
      <c r="C128" s="87" t="str">
        <f>IF(FN_MC!S129="","*",FN_MC!S129)</f>
        <v>FERRONORTE</v>
      </c>
      <c r="D128" s="87" t="str">
        <f>IF(FN_MC!T129="","*",FN_MC!T129)</f>
        <v>TMI-TCS</v>
      </c>
      <c r="E128" s="87" t="str">
        <f>IF(FN_MC!D129="","*",FN_MC!D129)</f>
        <v>V66</v>
      </c>
      <c r="F128" s="87" t="str">
        <f>IF(FN_MC!H129="","*",FN_MC!H129)</f>
        <v>TID</v>
      </c>
      <c r="G128" s="87" t="str">
        <f>IF(FN_MC!M129="","*",FN_MC!M129)</f>
        <v>TMO-TCE</v>
      </c>
      <c r="H128" s="125">
        <f>IF(FN_MC!K129="","*",FN_MC!K129)</f>
        <v>155</v>
      </c>
      <c r="I128" s="110">
        <f>IF(FN_MC!O129="","*",FN_MC!O129)</f>
        <v>0.39583333333333331</v>
      </c>
      <c r="J128" s="110">
        <f>IF(FN_MC!P129="","*",FN_MC!P129)</f>
        <v>8.3333333333333329E-2</v>
      </c>
      <c r="K128" s="118" t="str">
        <f>IF(FN_MC!AK129="","*",FN_MC!AK129)</f>
        <v>TID</v>
      </c>
      <c r="L128" s="118" t="str">
        <f>IF(FN_MC!AM129="","*",FN_MC!AM129)</f>
        <v>TMO-TCE</v>
      </c>
      <c r="M128" s="118">
        <f>IF(FN_MC!AP129="","*",FN_MC!AP129)</f>
        <v>155</v>
      </c>
      <c r="N128" s="118" t="str">
        <f>IF(FN_MC!AM129="","*",FN_MC!AM129)</f>
        <v>TMO-TCE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*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*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Oportunidade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TGR2</v>
      </c>
      <c r="G140" s="87" t="str">
        <f>IF(FN_MC!M141="","*",FN_MC!M141)</f>
        <v>TPC-TVL</v>
      </c>
      <c r="H140" s="125">
        <f>IF(FN_MC!K141="","*",FN_MC!K141)</f>
        <v>441</v>
      </c>
      <c r="I140" s="110">
        <f>IF(FN_MC!O141="","*",FN_MC!O141)</f>
        <v>0.41666666666666669</v>
      </c>
      <c r="J140" s="110">
        <f>IF(FN_MC!P141="","*",FN_MC!P141)</f>
        <v>8.3333333333333329E-2</v>
      </c>
      <c r="K140" s="118" t="str">
        <f>IF(FN_MC!AK141="","*",FN_MC!AK141)</f>
        <v>TGR2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1160</v>
      </c>
      <c r="D2" s="83" t="s">
        <v>1162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>
        <f>IF(FN_MC!B101="","*",FN_MC!B101)</f>
        <v>46087</v>
      </c>
      <c r="D96" s="101" t="str">
        <f>IF(FN_MC!D101="","*",FN_MC!D101)</f>
        <v>E14</v>
      </c>
      <c r="E96" s="101" t="str">
        <f>IF(FN_MC!H101="","*",FN_MC!H101)</f>
        <v>PIT2</v>
      </c>
      <c r="F96" s="114" t="str">
        <f>IF(FN_MC!M101="","*",FN_MC!M101)</f>
        <v>POU-ZPD</v>
      </c>
      <c r="G96" s="101" t="str">
        <f>IF(FN_MC!I101="","*",FN_MC!I101)</f>
        <v>PIT2</v>
      </c>
      <c r="H96" s="101" t="str">
        <f>IF(FN_MC!AB101="","*",FN_MC!AB101)</f>
        <v>FIXO</v>
      </c>
      <c r="I96" s="101" t="str">
        <f>IF(FN_MC!AC101="","*",FN_MC!AC101)</f>
        <v>*</v>
      </c>
      <c r="J96" s="102">
        <f>IF(FN_MC!AA101="","*",FN_MC!AA101)</f>
        <v>1</v>
      </c>
      <c r="K96" s="112">
        <f>IF(FN_MC!AD101="","*",FN_MC!AD101)</f>
        <v>0.91666666666666663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FIXO + ESCALA</v>
      </c>
      <c r="I114" s="101" t="str">
        <f>IF(FN_MC!AC119="","*",FN_MC!AC119)</f>
        <v>*</v>
      </c>
      <c r="J114" s="102" t="str">
        <f>IF(FN_MC!AA119="","*",FN_MC!AA119)</f>
        <v>2 (maicon + fiscal)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>
        <f>IF(FN_MC!B127="","*",FN_MC!B127)</f>
        <v>46089</v>
      </c>
      <c r="D122" s="101" t="str">
        <f>IF(FN_MC!D127="","*",FN_MC!D127)</f>
        <v>V80</v>
      </c>
      <c r="E122" s="101" t="str">
        <f>IF(FN_MC!H127="","*",FN_MC!H127)</f>
        <v>TCS2</v>
      </c>
      <c r="F122" s="114" t="str">
        <f>IF(FN_MC!M127="","*",FN_MC!M127)</f>
        <v>TCS-TOM</v>
      </c>
      <c r="G122" s="101" t="str">
        <f>IF(FN_MC!I127="","*",FN_MC!I127)</f>
        <v>TOM</v>
      </c>
      <c r="H122" s="101" t="str">
        <f>IF(FN_MC!AB127="","*",FN_MC!AB127)</f>
        <v>FIXO</v>
      </c>
      <c r="I122" s="101" t="str">
        <f>IF(FN_MC!AC127="","*",FN_MC!AC127)</f>
        <v>*</v>
      </c>
      <c r="J122" s="102">
        <f>IF(FN_MC!AA127="","*",FN_MC!AA127)</f>
        <v>1</v>
      </c>
      <c r="K122" s="112">
        <f>IF(FN_MC!AD127="","*",FN_MC!AD127)</f>
        <v>0.29166666666666669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>
        <f>IF(FN_MC!B129="","*",FN_MC!B129)</f>
        <v>46089</v>
      </c>
      <c r="D124" s="101" t="str">
        <f>IF(FN_MC!D129="","*",FN_MC!D129)</f>
        <v>V66</v>
      </c>
      <c r="E124" s="101" t="str">
        <f>IF(FN_MC!H129="","*",FN_MC!H129)</f>
        <v>TID</v>
      </c>
      <c r="F124" s="114" t="str">
        <f>IF(FN_MC!M129="","*",FN_MC!M129)</f>
        <v>TMO-TCE</v>
      </c>
      <c r="G124" s="101" t="str">
        <f>IF(FN_MC!I129="","*",FN_MC!I129)</f>
        <v>TID</v>
      </c>
      <c r="H124" s="101" t="str">
        <f>IF(FN_MC!AB129="","*",FN_MC!AB129)</f>
        <v>FIXO</v>
      </c>
      <c r="I124" s="101" t="str">
        <f>IF(FN_MC!AC129="","*",FN_MC!AC129)</f>
        <v>*</v>
      </c>
      <c r="J124" s="102">
        <f>IF(FN_MC!AA129="","*",FN_MC!AA129)</f>
        <v>1</v>
      </c>
      <c r="K124" s="112">
        <f>IF(FN_MC!AD129="","*",FN_MC!AD129)</f>
        <v>0.29166666666666669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*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*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TGR2</v>
      </c>
      <c r="F136" s="114" t="str">
        <f>IF(FN_MC!M141="","*",FN_MC!M141)</f>
        <v>TPC-TVL</v>
      </c>
      <c r="G136" s="101" t="str">
        <f>IF(FN_MC!I141="","*",FN_MC!I141)</f>
        <v>TGR2</v>
      </c>
      <c r="H136" s="101" t="str">
        <f>IF(FN_MC!AB141="","*",FN_MC!AB141)</f>
        <v>FIXO</v>
      </c>
      <c r="I136" s="101" t="str">
        <f>IF(FN_MC!AC141="","*",FN_MC!AC141)</f>
        <v>*</v>
      </c>
      <c r="J136" s="102" t="str">
        <f>IF(FN_MC!AA141="","*",FN_MC!AA141)</f>
        <v>2 Enio e Daniel</v>
      </c>
      <c r="K136" s="112">
        <f>IF(FN_MC!AD141="","*",FN_MC!AD141)</f>
        <v>0.29166666666666669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2026-03-06T18:58:15Z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