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303" documentId="8_{B6337239-1A00-434D-AAD0-422EA1FEB5AE}" xr6:coauthVersionLast="47" xr6:coauthVersionMax="47" xr10:uidLastSave="{318453BA-149A-4D1A-8149-FB8E7AA4A5F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D'!$A$6:$R$1000</definedName>
    <definedName name="_xlnm._FilterDatabase" localSheetId="6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F546" i="13" s="1"/>
  <c r="N547" i="1" a="1"/>
  <c r="N547" i="1"/>
  <c r="M547" i="1" a="1"/>
  <c r="M547" i="1"/>
  <c r="F545" i="13" s="1"/>
  <c r="N546" i="1" a="1"/>
  <c r="N546" i="1"/>
  <c r="M546" i="1" a="1"/>
  <c r="M546" i="1"/>
  <c r="F544" i="13" s="1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2" i="1" a="1"/>
  <c r="N532" i="1"/>
  <c r="L530" i="12" s="1"/>
  <c r="M532" i="1" a="1"/>
  <c r="M532" i="1"/>
  <c r="F530" i="13" s="1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AM528" i="1"/>
  <c r="AN528" i="1"/>
  <c r="R528" i="1"/>
  <c r="S526" i="12" s="1"/>
  <c r="U528" i="1"/>
  <c r="AI528" i="1"/>
  <c r="BB528" i="1" s="1"/>
  <c r="AK528" i="1"/>
  <c r="AL528" i="1"/>
  <c r="AO528" i="1"/>
  <c r="BE528" i="1" s="1"/>
  <c r="AP528" i="1"/>
  <c r="AQ528" i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1" i="12" l="1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<sst xmlns="http://schemas.openxmlformats.org/spreadsheetml/2006/main" count="11723" uniqueCount="1762">
  <si>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</si>
  <si>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</si>
  <si>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</si>
  <si>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</si>
  <si>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</si>
  <si>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</si>
  <si>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</si>
  <si>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</si>
  <si>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</si>
  <si>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</si>
  <si>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</si>
  <si>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</si>
  <si>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</si>
  <si>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</si>
  <si>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</si>
  <si>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</si>
  <si>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</si>
  <si>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</si>
  <si>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</si>
  <si>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</si>
  <si>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</si>
  <si>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</si>
  <si>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</si>
  <si>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</si>
  <si>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</si>
  <si>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</si>
  <si>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</si>
  <si>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</si>
  <si>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</si>
  <si>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</si>
  <si>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</si>
  <si>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</si>
  <si>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</si>
  <si>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</si>
  <si>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</si>
  <si>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</si>
  <si>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</si>
  <si>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</si>
  <si>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</si>
  <si>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</si>
  <si>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</si>
  <si>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</si>
  <si>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</si>
  <si>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</si>
  <si>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</si>
  <si>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</si>
  <si>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</si>
  <si>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</si>
  <si>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</si>
  <si>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</si>
  <si>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</si>
  <si>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</si>
  <si>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</si>
  <si>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</si>
  <si>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</si>
  <si>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</si>
  <si>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</si>
  <si>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</si>
  <si>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</si>
  <si>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</si>
  <si>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</si>
  <si>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</si>
  <si>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</si>
  <si>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</si>
  <si>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</si>
  <si>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</si>
  <si>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</si>
  <si>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</si>
  <si>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</si>
  <si>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</si>
  <si>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</si>
  <si>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</si>
  <si>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</si>
  <si>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</si>
  <si>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</si>
  <si>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</si>
  <si>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</si>
  <si>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</si>
  <si>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</si>
  <si>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</si>
  <si>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</si>
  <si>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</si>
  <si>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</si>
  <si>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</si>
  <si>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</si>
  <si>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</si>
  <si>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</si>
  <si>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</si>
  <si>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</si>
  <si>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</si>
  <si>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</si>
  <si>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</si>
  <si>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</si>
  <si>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</si>
  <si>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</si>
  <si>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</si>
  <si>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</si>
  <si>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</si>
  <si>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</si>
  <si>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</si>
  <si>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</si>
  <si>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</si>
  <si>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</si>
  <si>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</si>
  <si>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</si>
  <si>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</si>
  <si>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</si>
  <si>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</si>
  <si>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</si>
  <si>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</si>
  <si>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</si>
  <si>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</si>
  <si>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</si>
  <si>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</si>
  <si>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</si>
  <si>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</si>
  <si>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</si>
  <si>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</si>
  <si>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</si>
  <si>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</si>
  <si>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</si>
  <si>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</si>
  <si>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</si>
  <si>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</si>
  <si>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</si>
  <si>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</si>
  <si>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</si>
  <si>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</si>
  <si>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</si>
  <si>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</si>
  <si>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</si>
  <si>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</si>
  <si>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</si>
  <si>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</si>
  <si>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</si>
  <si>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</si>
  <si>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</si>
  <si>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</si>
  <si>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</si>
  <si>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</si>
  <si>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</si>
  <si>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</si>
  <si>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</si>
  <si>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</si>
  <si>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</si>
  <si>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</si>
  <si>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</si>
  <si>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</si>
  <si>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</si>
  <si>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</si>
  <si>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</si>
  <si>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</si>
  <si>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</si>
  <si>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</si>
  <si>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</si>
  <si>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</si>
  <si>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</si>
  <si>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</si>
  <si>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</si>
  <si>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</si>
  <si>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</si>
  <si>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</si>
  <si>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</si>
  <si>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</si>
  <si>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</si>
  <si>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</si>
  <si>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</si>
  <si>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</si>
  <si>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</si>
  <si>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</si>
  <si>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</si>
  <si>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</si>
  <si>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</si>
  <si>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</si>
  <si>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</si>
  <si>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</si>
  <si>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</si>
  <si>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</si>
  <si>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</si>
  <si>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</si>
  <si>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</si>
  <si>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</si>
  <si>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</si>
  <si>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</si>
  <si>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</si>
  <si>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</si>
  <si>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</si>
  <si>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</si>
  <si>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</si>
  <si>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</si>
  <si>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</si>
  <si>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</si>
  <si>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</si>
  <si>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</si>
  <si>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</si>
  <si>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</si>
  <si>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</si>
  <si>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</si>
  <si>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</si>
  <si>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</si>
  <si>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</si>
  <si>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</si>
  <si>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</si>
  <si>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</si>
  <si>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</si>
  <si>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</si>
  <si>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</si>
  <si>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</si>
  <si>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</si>
  <si>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</si>
  <si>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</si>
  <si>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</si>
  <si>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</si>
  <si>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</si>
  <si>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</si>
  <si>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</si>
  <si>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</si>
  <si>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</si>
  <si>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</si>
  <si>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</si>
  <si>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</si>
  <si>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</si>
  <si>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</si>
  <si>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</si>
  <si>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</si>
  <si>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</si>
  <si>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</si>
  <si>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</si>
  <si>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</si>
  <si>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</si>
  <si>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</si>
  <si>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</si>
  <si>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</si>
  <si>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</si>
  <si>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</si>
  <si>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</si>
  <si>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</si>
  <si>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</si>
  <si>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</si>
  <si>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</si>
  <si>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</si>
  <si>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</si>
  <si>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</si>
  <si>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</si>
  <si>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</si>
  <si>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</si>
  <si>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</si>
  <si>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</si>
  <si>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</si>
  <si>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</si>
  <si>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</si>
  <si>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</si>
  <si>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</si>
  <si>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</si>
  <si>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</si>
  <si>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</si>
  <si>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</si>
  <si>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</si>
  <si>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</si>
  <si>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</si>
  <si>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</si>
  <si>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</si>
  <si>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</si>
  <si>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</si>
  <si>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</si>
  <si>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</si>
  <si>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</si>
  <si>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</si>
  <si>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</si>
  <si>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</si>
  <si>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</si>
  <si>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</si>
  <si>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</si>
  <si>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</si>
  <si>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</si>
  <si>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</si>
  <si>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</si>
  <si>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</si>
  <si>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</si>
  <si>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</si>
  <si>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</si>
  <si>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</si>
  <si>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</si>
  <si>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</si>
  <si>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</si>
  <si>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</si>
  <si>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</si>
  <si>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</si>
  <si>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</si>
  <si>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</si>
  <si>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</si>
  <si>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</si>
  <si>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</si>
  <si>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</si>
  <si>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</si>
  <si>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</si>
  <si>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</si>
  <si>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</si>
  <si>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</si>
  <si>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</si>
  <si>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</si>
  <si>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</si>
  <si>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</si>
  <si>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</si>
  <si>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</si>
  <si>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</si>
  <si>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</si>
  <si>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</si>
  <si>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</si>
  <si>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</si>
  <si>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</si>
  <si>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</si>
  <si>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</si>
  <si>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</si>
  <si>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</si>
  <si>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</si>
  <si>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</si>
  <si>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</si>
  <si>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</si>
  <si>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</si>
  <si>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</si>
  <si>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</si>
  <si>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</si>
  <si>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</si>
  <si>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</si>
  <si>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</si>
  <si>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</si>
  <si>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</si>
  <si>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</si>
  <si>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</si>
  <si>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</si>
  <si>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</si>
  <si>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</si>
  <si>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</si>
  <si>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</si>
  <si>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</si>
  <si>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</si>
  <si>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</si>
  <si>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</si>
  <si>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</si>
  <si>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</si>
  <si>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</si>
  <si>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</si>
  <si>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</si>
  <si>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</si>
  <si>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</si>
  <si>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</si>
  <si>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</si>
  <si>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</si>
  <si>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</si>
  <si>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</si>
  <si>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</si>
  <si>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</si>
  <si>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</si>
  <si>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</si>
  <si>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</si>
  <si>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</si>
  <si>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</si>
  <si>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</si>
  <si>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</si>
  <si>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</si>
  <si>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</si>
  <si>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</si>
  <si>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</si>
  <si>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</si>
  <si>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</si>
  <si>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</si>
  <si>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</si>
  <si>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</si>
  <si>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</si>
  <si>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</si>
  <si>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</si>
  <si>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</si>
  <si>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</si>
  <si>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</si>
  <si>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</si>
  <si>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</si>
  <si>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</si>
  <si>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</si>
  <si>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</si>
  <si>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</si>
  <si>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</si>
  <si>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</si>
  <si>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</si>
  <si>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</si>
  <si>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</si>
  <si>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</si>
  <si>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</si>
  <si>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</si>
  <si>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</si>
  <si>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</si>
  <si>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</si>
  <si>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</si>
  <si>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</si>
  <si>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</si>
  <si>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</si>
  <si>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</si>
  <si>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</si>
  <si>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</si>
  <si>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</si>
  <si>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</si>
  <si>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</si>
  <si>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</si>
  <si>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</si>
  <si>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</si>
  <si>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</si>
  <si>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</si>
  <si>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</si>
  <si>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</si>
  <si>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</si>
  <si>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</si>
  <si>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</si>
  <si>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</si>
  <si>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</si>
  <si>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</si>
  <si>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</si>
  <si>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</si>
  <si>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</si>
  <si>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</si>
  <si>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</si>
  <si>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</si>
  <si>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</si>
  <si>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</si>
  <si>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</si>
  <si>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</si>
  <si>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</si>
  <si>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</si>
  <si>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</si>
  <si>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</si>
  <si>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</si>
  <si>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</si>
  <si>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</si>
  <si>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</si>
  <si>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</si>
  <si>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</si>
  <si>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</si>
  <si>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</si>
  <si>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</si>
  <si>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</si>
  <si>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</si>
  <si>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</si>
  <si>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</si>
  <si>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</si>
  <si>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</si>
  <si>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</si>
  <si>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</si>
  <si>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</si>
  <si>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</si>
  <si>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</si>
  <si>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</si>
  <si>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</si>
  <si>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</si>
  <si>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</si>
  <si>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</si>
  <si>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</si>
  <si>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</si>
  <si>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</si>
  <si>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</si>
  <si>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</si>
  <si>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</si>
  <si>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</si>
  <si>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</si>
  <si>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</si>
  <si>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</si>
  <si>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</si>
  <si>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</si>
  <si>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</si>
  <si>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</si>
  <si>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</si>
  <si>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</si>
  <si>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</si>
  <si>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</si>
  <si>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</si>
  <si>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</si>
  <si>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</si>
  <si>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</si>
  <si>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</si>
  <si>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</si>
  <si>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</si>
  <si>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</si>
  <si>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</si>
  <si>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</si>
  <si>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</si>
  <si>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</si>
  <si>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</si>
  <si>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</si>
  <si>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</si>
  <si>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</si>
  <si>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</si>
  <si>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</si>
  <si>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</si>
  <si>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</si>
  <si>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</si>
  <si>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</si>
  <si>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</si>
  <si>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</si>
  <si>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</si>
  <si>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</si>
  <si>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</si>
  <si>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</si>
  <si>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</si>
  <si>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</si>
  <si>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</si>
  <si>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</si>
  <si>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</si>
  <si>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</si>
  <si>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</si>
  <si>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</si>
  <si>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</si>
  <si>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</si>
  <si>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</si>
  <si>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</si>
  <si>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</si>
  <si>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</si>
  <si>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</si>
  <si>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</si>
  <si>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</si>
  <si>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</si>
  <si>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</si>
  <si>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</si>
  <si>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</si>
  <si>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</si>
  <si>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</si>
  <si>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</si>
  <si>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</si>
  <si>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</si>
  <si>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</si>
  <si>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</si>
  <si>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</si>
  <si>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</si>
  <si>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</si>
  <si>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</si>
  <si>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</si>
  <si>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</si>
  <si>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</si>
  <si>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</si>
  <si>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</si>
  <si>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</si>
  <si>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</si>
  <si>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</si>
  <si>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</si>
  <si>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</si>
  <si>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</si>
  <si>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</si>
  <si>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</si>
  <si>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</si>
  <si>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</si>
  <si>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</si>
  <si>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</si>
  <si>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</si>
  <si>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</si>
  <si>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</si>
  <si>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</si>
  <si>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</si>
  <si>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</si>
  <si>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</si>
  <si>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</si>
  <si>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</si>
  <si>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</si>
  <si>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</si>
  <si>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</si>
  <si>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</si>
  <si>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</si>
  <si>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</si>
  <si>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</si>
  <si>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</si>
  <si>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</si>
  <si>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</si>
  <si>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</si>
  <si>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</si>
  <si>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</si>
  <si>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</si>
  <si>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</si>
  <si>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</si>
  <si>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</si>
  <si>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</si>
  <si>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</si>
  <si>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</si>
  <si>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</si>
  <si>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</si>
  <si>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</si>
  <si>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</si>
  <si>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</si>
  <si>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</si>
  <si>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</si>
  <si>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</si>
  <si>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</si>
  <si>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</si>
  <si>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</si>
  <si>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</si>
  <si>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</si>
  <si>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</si>
  <si>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</si>
  <si>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</si>
  <si>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</si>
  <si>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</si>
  <si>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</si>
  <si>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</si>
  <si>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</si>
  <si>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</si>
  <si>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</si>
  <si>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</si>
  <si>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</si>
  <si>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</si>
  <si>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</si>
  <si>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</si>
  <si>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</si>
  <si>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</si>
  <si>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</si>
  <si>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</si>
  <si>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</si>
  <si>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</si>
  <si>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</si>
  <si>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</si>
  <si>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</si>
  <si>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</si>
  <si>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</si>
  <si>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</si>
  <si>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</si>
  <si>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</si>
  <si>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</si>
  <si>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</si>
  <si>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</si>
  <si>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</si>
  <si>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</si>
  <si>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</si>
  <si>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</si>
  <si>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</si>
  <si>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</si>
  <si>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</si>
  <si>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</si>
  <si>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</si>
  <si>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</si>
  <si>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</si>
  <si>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</si>
  <si>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</si>
  <si>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</si>
  <si>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</si>
  <si>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</si>
  <si>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</si>
  <si>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</si>
  <si>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</si>
  <si>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</si>
  <si>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</si>
  <si>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</si>
  <si>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</si>
  <si>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</si>
  <si>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</si>
  <si>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</si>
  <si>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</si>
  <si>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</si>
  <si>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</si>
  <si>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</si>
  <si>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</si>
  <si>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</si>
  <si>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</si>
  <si>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</si>
  <si>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</si>
  <si>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</si>
  <si>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</si>
  <si>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</si>
  <si>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</si>
  <si>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</si>
  <si>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</si>
  <si>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</si>
  <si>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</si>
  <si>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</si>
  <si>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</si>
  <si>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</si>
  <si>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</si>
  <si>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</si>
  <si>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</si>
  <si>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</si>
  <si>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</si>
  <si>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</si>
  <si>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</si>
  <si>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</si>
  <si>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</si>
  <si>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</si>
  <si>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</si>
  <si>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</si>
  <si>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</si>
  <si>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</si>
  <si>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</si>
  <si>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</si>
  <si>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</si>
  <si>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</si>
  <si>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</si>
  <si>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</si>
  <si>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</si>
  <si>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</si>
  <si>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</si>
  <si>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</si>
  <si>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</si>
  <si>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</si>
  <si>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</si>
  <si>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</si>
  <si>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</si>
  <si>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</si>
  <si>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</si>
  <si>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</si>
  <si>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</si>
  <si>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</si>
  <si>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</si>
  <si>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</si>
  <si>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</si>
  <si>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</si>
  <si>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</si>
  <si>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</si>
  <si>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</si>
  <si>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</si>
  <si>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</si>
  <si>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</si>
  <si>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</si>
  <si>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</si>
  <si>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</si>
  <si>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</si>
  <si>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</si>
  <si>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</si>
  <si>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</si>
  <si>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</si>
  <si>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</si>
  <si>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</si>
  <si>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</si>
  <si>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</si>
  <si>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</si>
  <si>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</si>
  <si>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</si>
  <si>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</si>
  <si>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</si>
  <si>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</si>
  <si>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</si>
  <si>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</si>
  <si>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</si>
  <si>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</si>
  <si>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</si>
  <si>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</si>
  <si>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</si>
  <si>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</si>
  <si>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</si>
  <si>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</si>
  <si>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</si>
  <si>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</si>
  <si>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</si>
  <si>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</si>
  <si>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</si>
  <si>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</si>
  <si>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</si>
  <si>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</si>
  <si>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</si>
  <si>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</si>
  <si>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</si>
  <si>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</si>
  <si>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</si>
  <si>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</si>
  <si>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</si>
  <si>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</si>
  <si>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</si>
  <si>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</si>
  <si>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</si>
  <si>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</si>
  <si>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</si>
  <si>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</si>
  <si>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</si>
  <si>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</si>
  <si>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</si>
  <si>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</si>
  <si>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</si>
  <si>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</si>
  <si>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</si>
  <si>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</si>
  <si>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</si>
  <si>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</si>
  <si>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</si>
  <si>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</si>
  <si>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</si>
  <si>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</si>
  <si>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</si>
  <si>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</si>
  <si>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</si>
  <si>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</si>
  <si>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</si>
  <si>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</si>
  <si>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</si>
  <si>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</si>
  <si>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</si>
  <si>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</si>
  <si>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</si>
  <si>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</si>
  <si>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</si>
  <si>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</si>
  <si>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</si>
  <si>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</si>
  <si>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</si>
  <si>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</si>
  <si>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</si>
  <si>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</si>
  <si>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</si>
  <si>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</si>
  <si>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</si>
  <si>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</si>
  <si>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</si>
  <si>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</si>
  <si>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</si>
  <si>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</si>
  <si>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</si>
  <si>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</si>
  <si>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</si>
  <si>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</si>
  <si>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</si>
  <si>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</si>
  <si>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</si>
  <si>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</si>
  <si>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</si>
  <si>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</si>
  <si>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</si>
  <si>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</si>
  <si>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</si>
  <si>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</si>
  <si>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</si>
  <si>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</si>
  <si>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</si>
  <si>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</si>
  <si>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</si>
  <si>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</si>
  <si>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</si>
  <si>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</si>
  <si>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</si>
  <si>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</si>
  <si>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</si>
  <si>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</si>
  <si>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</si>
  <si>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</si>
  <si>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</si>
  <si>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</si>
  <si>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</si>
  <si>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</si>
  <si>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</si>
  <si>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</si>
  <si>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</si>
  <si>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</si>
  <si>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</si>
  <si>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</si>
  <si>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</si>
  <si>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</si>
  <si>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</si>
  <si>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</si>
  <si>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</si>
  <si>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</si>
  <si>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</si>
  <si>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</si>
  <si>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</si>
  <si>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</si>
  <si>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</si>
  <si>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</si>
  <si>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</si>
  <si>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</si>
  <si>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</si>
  <si>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</si>
  <si>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</si>
  <si>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</si>
  <si>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</si>
  <si>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</si>
  <si>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</si>
  <si>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</si>
  <si>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</si>
  <si>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</si>
  <si>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</si>
  <si>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</si>
  <si>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</si>
  <si>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</si>
  <si>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</si>
  <si>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</si>
  <si>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</si>
  <si>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</si>
  <si>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</si>
  <si>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</si>
  <si>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</si>
  <si>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</si>
  <si>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</si>
  <si>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</si>
  <si>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</si>
  <si>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</si>
  <si>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</si>
  <si>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</si>
  <si>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</si>
  <si>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</si>
  <si>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</si>
  <si>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</si>
  <si>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</si>
  <si>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</si>
  <si>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</si>
  <si>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</si>
  <si>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</si>
  <si>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</si>
  <si>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</si>
  <si>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</si>
  <si>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</si>
  <si>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</si>
  <si>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</si>
  <si>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</si>
  <si>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</si>
  <si>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</si>
  <si>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</si>
  <si>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</si>
  <si>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</si>
  <si>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</si>
  <si>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</si>
  <si>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</si>
  <si>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</si>
  <si>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</si>
  <si>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</si>
  <si>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</si>
  <si>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</si>
  <si>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</si>
  <si>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</si>
  <si>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</si>
  <si>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</si>
  <si>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</si>
  <si>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</si>
  <si>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</si>
  <si>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</si>
  <si>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</si>
  <si>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</si>
  <si>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</si>
  <si>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</si>
  <si>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</si>
  <si>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</si>
  <si>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</si>
  <si>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</si>
  <si>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</si>
  <si>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</si>
  <si>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</si>
  <si>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</si>
  <si>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</si>
  <si>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</si>
  <si>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</si>
  <si>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</si>
  <si>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</si>
  <si>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</si>
  <si>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</si>
  <si>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</si>
  <si>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</si>
  <si>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</si>
  <si>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</si>
  <si>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</si>
  <si>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</si>
  <si>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</si>
  <si>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</si>
  <si>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</si>
  <si>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</si>
  <si>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</si>
  <si>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</si>
  <si>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</si>
  <si>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</si>
  <si>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</si>
  <si>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</si>
  <si>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</si>
  <si>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</si>
  <si>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</si>
  <si>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</si>
  <si>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</si>
  <si>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</si>
  <si>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</si>
  <si>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</si>
  <si>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</si>
  <si>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</si>
  <si>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</si>
  <si>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</si>
  <si>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</si>
  <si>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</si>
  <si>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</si>
  <si>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</si>
  <si>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</si>
  <si>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</si>
  <si>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</si>
  <si>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</si>
  <si>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</si>
  <si>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</si>
  <si>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</si>
  <si>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</si>
  <si>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</si>
  <si>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</si>
  <si>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</si>
  <si>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</si>
  <si>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</si>
  <si>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</si>
  <si>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</si>
  <si>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</si>
  <si>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</si>
  <si>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</si>
  <si>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</si>
  <si>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</si>
  <si>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</si>
  <si>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</si>
  <si>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</si>
  <si>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</si>
  <si>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</si>
  <si>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</si>
  <si>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</si>
  <si>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</si>
  <si>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</si>
  <si>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</si>
  <si>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</si>
  <si>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</si>
  <si>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</si>
  <si>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</si>
  <si>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</si>
  <si>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</si>
  <si>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</si>
  <si>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</si>
  <si>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</si>
  <si>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</si>
  <si>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</si>
  <si>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</si>
  <si>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</si>
  <si>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</si>
  <si>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</si>
  <si>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</si>
  <si>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</si>
  <si>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</si>
  <si>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</si>
  <si>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</si>
  <si>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</si>
  <si>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</si>
  <si>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</si>
  <si>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</si>
  <si>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</si>
  <si>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</si>
  <si>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</si>
  <si>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</si>
  <si>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</si>
  <si>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</si>
  <si>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</si>
  <si>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</si>
  <si>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</si>
  <si>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</si>
  <si>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</si>
  <si>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</si>
  <si>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</si>
  <si>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</si>
  <si>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</si>
  <si>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</si>
  <si>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</si>
  <si>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</si>
  <si>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</si>
  <si>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</si>
  <si>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</si>
  <si>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</si>
  <si>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</si>
  <si>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</si>
  <si>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</si>
  <si>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</si>
  <si>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</si>
  <si>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</si>
  <si>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</si>
  <si>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</si>
  <si>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</si>
  <si>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</si>
  <si>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</si>
  <si>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</si>
  <si>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</si>
  <si>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</si>
  <si>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</si>
  <si>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</si>
  <si>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</si>
  <si>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</si>
  <si>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</si>
  <si>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</si>
  <si>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</si>
  <si>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</si>
  <si>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</si>
  <si>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</si>
  <si>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</si>
  <si>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</si>
  <si>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</si>
  <si>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</si>
  <si>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</si>
  <si>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</si>
  <si>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</si>
  <si>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</si>
  <si>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</si>
  <si>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</si>
  <si>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</si>
  <si>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</si>
  <si>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</si>
  <si>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</si>
  <si>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</si>
  <si>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</si>
  <si>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</si>
  <si>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</si>
  <si>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</si>
  <si>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</si>
  <si>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</si>
  <si>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</si>
  <si>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</si>
  <si>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</si>
  <si>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</si>
  <si>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</si>
  <si>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</si>
  <si>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</si>
  <si>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</si>
  <si>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</si>
  <si>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</si>
  <si>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</si>
  <si>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</si>
  <si>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</si>
  <si>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</si>
  <si>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</si>
  <si>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</si>
  <si>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</si>
  <si>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</si>
  <si>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</si>
  <si>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</si>
  <si>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</si>
  <si>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</si>
  <si>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</si>
  <si>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</si>
  <si>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</si>
  <si>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</si>
  <si>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</si>
  <si>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</si>
  <si>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</si>
  <si>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</si>
  <si>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</si>
  <si>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</si>
  <si>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</si>
  <si>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</si>
  <si>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</si>
  <si>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</si>
  <si>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</si>
  <si>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</si>
  <si>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</si>
  <si>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</si>
  <si>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</si>
  <si>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</si>
  <si>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</si>
  <si>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</si>
  <si>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</si>
  <si>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</si>
  <si>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</si>
  <si>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</si>
  <si>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</si>
  <si>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</si>
  <si>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</si>
  <si>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</si>
  <si>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</si>
  <si>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</si>
  <si>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</si>
  <si>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</si>
  <si>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</si>
  <si>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</si>
  <si>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</si>
  <si>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</si>
  <si>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</si>
  <si>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</si>
  <si>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</si>
  <si>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</si>
  <si>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</si>
  <si>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</si>
  <si>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</si>
  <si>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</si>
  <si>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</si>
  <si>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</si>
  <si>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</si>
  <si>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</si>
  <si>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</si>
  <si>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</si>
  <si>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</si>
  <si>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</si>
  <si>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</si>
  <si>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</si>
  <si>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</si>
  <si>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</si>
  <si>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</si>
  <si>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</si>
  <si>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</si>
  <si>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</si>
  <si>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</si>
  <si>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</si>
  <si>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</si>
  <si>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</si>
  <si>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</si>
  <si>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</si>
  <si>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</si>
  <si>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</si>
  <si>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</si>
  <si>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</si>
  <si>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</si>
  <si>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</si>
  <si>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</si>
  <si>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</si>
  <si>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</si>
  <si>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</si>
  <si>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</si>
  <si>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</si>
  <si>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</si>
  <si>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</si>
  <si>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</si>
  <si>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</si>
  <si>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</si>
  <si>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</si>
  <si>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</si>
  <si>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</si>
  <si>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</si>
  <si>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</si>
  <si>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</si>
  <si>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</si>
  <si>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</si>
  <si>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</si>
  <si>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</si>
  <si>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</si>
  <si>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</si>
  <si>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</si>
  <si>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</si>
  <si>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</si>
  <si>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</si>
  <si>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</si>
  <si>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</si>
  <si>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</si>
  <si>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</si>
  <si>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</si>
  <si>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</si>
  <si>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</si>
  <si>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</si>
  <si>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</si>
  <si>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</si>
  <si>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</si>
  <si>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</si>
  <si>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</si>
  <si>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</si>
  <si>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</si>
  <si>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</si>
  <si>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</si>
  <si>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</si>
  <si>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</si>
  <si>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</si>
  <si>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</si>
  <si>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</si>
  <si>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</si>
  <si>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</si>
  <si>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</si>
  <si>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</si>
  <si>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</si>
  <si>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</si>
  <si>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</si>
  <si>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</si>
  <si>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</si>
  <si>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</si>
  <si>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</si>
  <si>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</si>
  <si>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</si>
  <si>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</si>
  <si>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</si>
  <si>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</si>
  <si>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</si>
  <si>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</si>
  <si>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</si>
  <si>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</si>
  <si>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</si>
  <si>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</si>
  <si>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</si>
  <si>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</si>
  <si>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</si>
  <si>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</si>
  <si>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</si>
  <si>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</si>
  <si>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</si>
  <si>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</si>
  <si>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</si>
  <si>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</si>
  <si>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</si>
  <si>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</si>
  <si>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</si>
  <si>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</si>
  <si>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</si>
  <si>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</si>
  <si>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</si>
  <si>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</si>
  <si>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</si>
  <si>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</si>
  <si>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</si>
  <si>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</si>
  <si>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</si>
  <si>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</si>
  <si>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</si>
  <si>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</si>
  <si>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</si>
  <si>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</si>
  <si>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</si>
  <si>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</si>
  <si>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</si>
  <si>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</si>
  <si>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</si>
  <si>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</si>
  <si>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</si>
  <si>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</si>
  <si>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</si>
  <si>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</si>
  <si>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</si>
  <si>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</si>
  <si>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</si>
  <si>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</si>
  <si>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</si>
  <si>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</si>
  <si>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</si>
  <si>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</si>
  <si>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</si>
  <si>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</si>
  <si>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</si>
  <si>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</si>
  <si>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</si>
  <si>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</si>
  <si>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</si>
  <si>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</si>
  <si>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</si>
  <si>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</si>
  <si>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</si>
  <si>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</si>
  <si>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</si>
  <si>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</si>
  <si>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</si>
  <si>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</si>
  <si>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</si>
  <si>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</si>
  <si>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</si>
  <si>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</si>
  <si>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</si>
  <si>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</si>
  <si>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</si>
  <si>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</si>
  <si>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</si>
  <si>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</si>
  <si>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</si>
  <si>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</si>
  <si>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</si>
  <si>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</si>
  <si>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</si>
  <si>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</si>
  <si>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</si>
  <si>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</si>
  <si>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</si>
  <si>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</si>
  <si>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</si>
  <si>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</si>
  <si>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</si>
  <si>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</si>
  <si>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</si>
  <si>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</si>
  <si>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</si>
  <si>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</si>
  <si>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</si>
  <si>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</si>
  <si>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</si>
  <si>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</si>
  <si>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</si>
  <si>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</si>
  <si>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</si>
  <si>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</si>
  <si>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</si>
  <si>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</si>
  <si>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</si>
  <si>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</si>
  <si>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</si>
  <si>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</si>
  <si>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</si>
  <si>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</si>
  <si>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</si>
  <si>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</si>
  <si>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</si>
  <si>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</si>
  <si>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</si>
  <si>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</si>
  <si>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</si>
  <si>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</si>
  <si>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</si>
  <si>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</si>
  <si>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</si>
  <si>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</si>
  <si>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</si>
  <si>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</si>
  <si>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</si>
  <si>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</si>
  <si>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</si>
  <si>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</si>
  <si>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</si>
  <si>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</si>
  <si>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</si>
  <si>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</si>
  <si>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</si>
  <si>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</si>
  <si>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</si>
  <si>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</si>
  <si>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</si>
  <si>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</si>
  <si>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</si>
  <si>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</si>
  <si>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</si>
  <si>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</si>
  <si>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</si>
  <si>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</si>
  <si>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</si>
  <si>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</si>
  <si>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</si>
  <si>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</si>
  <si>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</si>
  <si>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</si>
  <si>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</si>
  <si>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</si>
  <si>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</si>
  <si>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</si>
  <si>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</si>
  <si>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</si>
  <si>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</si>
  <si>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</si>
  <si>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</si>
  <si>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</si>
  <si>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</si>
  <si>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</si>
  <si>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</si>
  <si>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</si>
  <si>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</si>
  <si>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</si>
  <si>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</si>
  <si>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</si>
  <si>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</si>
  <si>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</si>
  <si>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</si>
  <si>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</si>
  <si>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</si>
  <si>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</si>
  <si>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</si>
  <si>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</si>
  <si>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</si>
  <si>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</si>
  <si>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</si>
  <si>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</si>
  <si>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</si>
  <si>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</si>
  <si>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</si>
  <si>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</si>
  <si>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</si>
  <si>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</si>
  <si>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</si>
  <si>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</si>
  <si>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</si>
  <si>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</si>
  <si>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</si>
  <si>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</si>
  <si>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</si>
  <si>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</si>
  <si>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</si>
  <si>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</si>
  <si>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</si>
  <si>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</si>
  <si>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</si>
  <si>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</si>
  <si>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</si>
  <si>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</si>
  <si>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</si>
  <si>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</si>
  <si>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</si>
  <si>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</si>
  <si>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</si>
  <si>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</si>
  <si>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</si>
  <si>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</si>
  <si>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</si>
  <si>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</si>
  <si>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</si>
  <si>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</si>
  <si>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</si>
  <si>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</si>
  <si>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</si>
  <si>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</si>
  <si>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</si>
  <si>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</si>
  <si>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</si>
  <si>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</si>
  <si>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</si>
  <si>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</si>
  <si>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</si>
  <si>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</si>
  <si>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</si>
  <si>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</si>
  <si>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</si>
  <si>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</si>
  <si>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</si>
  <si>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</si>
  <si>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</si>
  <si>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</si>
  <si>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</si>
  <si>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</si>
  <si>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</si>
  <si>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</si>
  <si>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</si>
  <si>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</si>
  <si>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</si>
  <si>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</si>
  <si>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</si>
  <si>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</si>
  <si>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</si>
  <si>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</si>
  <si>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</si>
  <si>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</si>
  <si>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</si>
  <si>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</si>
  <si>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</si>
  <si>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</si>
  <si>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</si>
  <si>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</si>
  <si>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</si>
  <si>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</si>
  <si>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</si>
  <si>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</si>
  <si>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</si>
  <si>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</si>
  <si>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</si>
  <si>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</si>
  <si>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</si>
  <si>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</si>
  <si>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</si>
  <si>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</si>
  <si>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</si>
  <si>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</si>
  <si>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</si>
  <si>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</si>
  <si>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</si>
  <si>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</si>
  <si>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</si>
  <si>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</si>
  <si>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</si>
  <si>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</si>
  <si>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</si>
  <si>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</si>
  <si>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</si>
  <si>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</si>
  <si>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</si>
  <si>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</si>
  <si>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</si>
  <si>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</si>
  <si>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</si>
  <si>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</si>
  <si>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</si>
  <si>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</si>
  <si>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</si>
  <si>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</si>
  <si>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</si>
  <si>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</si>
  <si>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</si>
  <si>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</si>
  <si>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</si>
  <si>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</si>
  <si>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</si>
  <si>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</si>
  <si>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</si>
  <si>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</si>
  <si>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</si>
  <si>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</si>
  <si>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</si>
  <si>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</si>
  <si>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</si>
  <si>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</si>
  <si>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</si>
  <si>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</si>
  <si>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</si>
  <si>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</si>
  <si>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</si>
  <si>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</si>
  <si>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</si>
  <si>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</si>
  <si>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</si>
  <si>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</si>
  <si>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</si>
  <si>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</si>
  <si>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</si>
  <si>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</si>
  <si>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</si>
  <si>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</si>
  <si>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</si>
  <si>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</si>
  <si>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</si>
  <si>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</si>
  <si>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</si>
  <si>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</si>
  <si>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</si>
  <si>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</si>
  <si>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</si>
  <si>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</si>
  <si>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</si>
  <si>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</si>
  <si>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</si>
  <si>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</si>
  <si>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</si>
  <si>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</si>
  <si>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</si>
  <si>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</si>
  <si>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</si>
  <si>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</si>
  <si>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</si>
  <si>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</si>
  <si>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</si>
  <si>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</si>
  <si>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</si>
  <si>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</si>
  <si>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</si>
  <si>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</si>
  <si>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</si>
  <si>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</si>
  <si>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</si>
  <si>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</si>
  <si>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</si>
  <si>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</si>
  <si>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</si>
  <si>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</si>
  <si>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</si>
  <si>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</si>
  <si>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</si>
  <si>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</si>
  <si>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</si>
  <si>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</si>
  <si>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</si>
  <si>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</si>
  <si>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</si>
  <si>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</si>
  <si>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</si>
  <si>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</si>
  <si>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</si>
  <si>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</si>
  <si>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</si>
  <si>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</si>
  <si>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</si>
  <si>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</si>
  <si>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</si>
  <si>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</si>
  <si>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</si>
  <si>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</si>
  <si>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</si>
  <si>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</si>
  <si>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</si>
  <si>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</si>
  <si>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</si>
  <si>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</si>
  <si>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</si>
  <si>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</si>
  <si>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</si>
  <si>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</si>
  <si>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</si>
  <si>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</si>
  <si>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</si>
  <si>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</si>
  <si>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</si>
  <si>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</si>
  <si>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</si>
  <si>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</si>
  <si>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</si>
  <si>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</si>
  <si>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</si>
  <si>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</si>
  <si>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</si>
  <si>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</si>
  <si>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</si>
  <si>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</si>
  <si>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</si>
  <si>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</si>
  <si>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</si>
  <si>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</si>
  <si>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</si>
  <si>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</si>
  <si>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</si>
  <si>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</si>
  <si>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</si>
  <si>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</si>
  <si>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</si>
  <si>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</si>
  <si>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</si>
  <si>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</si>
  <si>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</si>
  <si>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</si>
  <si>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</si>
  <si>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</si>
  <si>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</si>
  <si>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</si>
  <si>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 aguardando previsão de faixa</t>
  </si>
  <si>
    <t>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</si>
  <si>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</si>
  <si>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102ZKW</t>
  </si>
  <si>
    <t>Descarga trilheiro</t>
  </si>
  <si>
    <t xml:space="preserve">Previsão de MC1 09h30 / </t>
  </si>
  <si>
    <t>Antonioni</t>
  </si>
  <si>
    <t xml:space="preserve">TP pronto 07h30 / </t>
  </si>
  <si>
    <t>ZEV-ZPG</t>
  </si>
  <si>
    <t>ZEVZPG</t>
  </si>
  <si>
    <t>MC1 07h20 / aguardando previsão de faixa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</si>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</sst>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O522" activePane="bottomRight" state="frozen"/>
      <selection pane="bottomRight" activeCell="BJ539" sqref="BJ53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hidden="1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hidden="1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0.58263888888888893</v>
      </c>
      <c r="AT492" s="237">
        <v>0.70763888888888893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7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5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5" t="str">
        <f t="shared" si="53"/>
        <v>OKOK</v>
      </c>
    </row>
    <row r="493" spans="1:72" hidden="1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">
        <v>196</v>
      </c>
      <c r="AM493" s="273" t="s">
        <v>1637</v>
      </c>
      <c r="AN493" s="273" t="s">
        <v>1638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5" t="s">
        <v>817</v>
      </c>
      <c r="BP493" s="328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5" t="str">
        <f t="shared" si="53"/>
        <v>MecanizaçãoOperação</v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1644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 hidden="1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1649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1652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1654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1656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1657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1658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 hidden="1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 hidden="1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0.56597222222222221</v>
      </c>
      <c r="AT509" s="237">
        <v>0.64930555555555558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7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5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5" t="str">
        <f t="shared" si="53"/>
        <v>OKOK</v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1663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 hidden="1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1666</v>
      </c>
      <c r="N512" s="204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1668</v>
      </c>
      <c r="W512" s="173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5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5" t="str">
        <f t="shared" si="53"/>
        <v>CCOCirculaçãoIntervaloContrato</v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1672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5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5" t="str">
        <f t="shared" si="53"/>
        <v>OKOK</v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1675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>
        <v>0</v>
      </c>
      <c r="AS514" s="237">
        <v>0</v>
      </c>
      <c r="AT514" s="237">
        <v>0</v>
      </c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7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5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>SuperExecução</v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1677</v>
      </c>
      <c r="W515" s="173" t="s">
        <v>1678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5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5" t="str">
        <f t="shared" si="53"/>
        <v>OKOK</v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5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5" t="str">
        <f t="shared" si="53"/>
        <v>OKOK</v>
      </c>
    </row>
    <row r="518" spans="1:72" ht="23.25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1682</v>
      </c>
      <c r="BK518" s="277" t="s">
        <v>1682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 hidden="1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t="23.25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18" t="s">
        <v>667</v>
      </c>
      <c r="Y522" s="231" t="s">
        <v>670</v>
      </c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>
        <v>0.30902777777777779</v>
      </c>
      <c r="AS522" s="274"/>
      <c r="AT522" s="274"/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0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>
        <v>1</v>
      </c>
      <c r="BI522" s="189"/>
      <c r="BJ522" s="278" t="s">
        <v>1683</v>
      </c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Produção e Intervalo</v>
      </c>
      <c r="BR522" s="19">
        <f>IF(OR(B522="",F522=""),"*",AY522/P522)</f>
        <v>0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231" t="s">
        <v>670</v>
      </c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>
        <v>0</v>
      </c>
      <c r="AS523" s="237">
        <v>0</v>
      </c>
      <c r="AT523" s="237">
        <v>0</v>
      </c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7" t="s">
        <v>1684</v>
      </c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1685</v>
      </c>
      <c r="X524" s="52" t="s">
        <v>667</v>
      </c>
      <c r="Y524" s="231" t="s">
        <v>670</v>
      </c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/>
      <c r="AS524" s="274"/>
      <c r="AT524" s="274"/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>
        <v>1</v>
      </c>
      <c r="BI524" s="17"/>
      <c r="BJ524" s="277" t="s">
        <v>1046</v>
      </c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231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/>
      <c r="AS525" s="274"/>
      <c r="AT525" s="274"/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/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>
        <v>1</v>
      </c>
      <c r="BI525" s="17"/>
      <c r="BJ525" s="277" t="s">
        <v>994</v>
      </c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231" t="s">
        <v>670</v>
      </c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/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>
        <v>1</v>
      </c>
      <c r="BI526" s="17"/>
      <c r="BJ526" s="277" t="s">
        <v>994</v>
      </c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>E4246014</v>
      </c>
      <c r="B527" s="168">
        <v>46014</v>
      </c>
      <c r="C527" s="8"/>
      <c r="D527" s="52" t="s">
        <v>463</v>
      </c>
      <c r="E527" s="287">
        <v>521</v>
      </c>
      <c r="F527" s="172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1686</v>
      </c>
      <c r="J527" s="38">
        <v>55</v>
      </c>
      <c r="K527" s="38">
        <v>102</v>
      </c>
      <c r="L527" s="84">
        <v>103</v>
      </c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1" t="str">
        <f>IFERROR(_xlfn.XLOOKUP(J527, BASE_MAPA!$D$2:$D$260, BASE_MAPA!$I$2:$I$260), "ERRO")</f>
        <v>ZKE</v>
      </c>
      <c r="V527" s="269" t="s">
        <v>938</v>
      </c>
      <c r="W527" s="173" t="s">
        <v>1687</v>
      </c>
      <c r="X527" s="52" t="s">
        <v>667</v>
      </c>
      <c r="Y527" s="231" t="s">
        <v>670</v>
      </c>
      <c r="Z527" s="158"/>
      <c r="AA527" s="144">
        <v>2</v>
      </c>
      <c r="AB527" s="71" t="s">
        <v>669</v>
      </c>
      <c r="AC527" s="71" t="s">
        <v>665</v>
      </c>
      <c r="AD527" s="173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3" t="str">
        <f>IF(BS_CONTROLE[[#This Row],[Local - Partida]]=0, "-", BS_CONTROLE[[#This Row],[Local - Partida]])</f>
        <v>102ZKW2</v>
      </c>
      <c r="AL527" s="273" t="str">
        <f>IF(BS_CONTROLE[[#This Row],[Local - Encerramento]]=0, "-", BS_CONTROLE[[#This Row],[Local - Encerramento]])</f>
        <v>102ZKW</v>
      </c>
      <c r="AM527" s="273" t="str">
        <f>IF(BS_CONTROLE[[#This Row],[Entre - Estações]]=0, "-", BS_CONTROLE[[#This Row],[Entre - Estações]])</f>
        <v>ZKW</v>
      </c>
      <c r="AN527" s="273" t="str">
        <f>IF(BS_CONTROLE[[#This Row],[SB]]=0, "-", BS_CONTROLE[[#This Row],[SB]])</f>
        <v>102ZKW2</v>
      </c>
      <c r="AO527" s="254">
        <f>IF(BS_CONTROLE[[#This Row],[SUB]]=0, "-", BS_CONTROLE[[#This Row],[SUB]])</f>
        <v>55</v>
      </c>
      <c r="AP527" s="255">
        <f>IF(BS_CONTROLE[[#This Row],[KM - Inicio]]=0, "-", BS_CONTROLE[[#This Row],[KM - Inicio]])</f>
        <v>102</v>
      </c>
      <c r="AQ527" s="255">
        <f>IF(BS_CONTROLE[[#This Row],[KM - Fim]]=0, "-", BS_CONTROLE[[#This Row],[KM - Fim]])</f>
        <v>103</v>
      </c>
      <c r="AR527" s="274"/>
      <c r="AS527" s="274"/>
      <c r="AT527" s="274"/>
      <c r="AU527" s="237"/>
      <c r="AV527" s="237"/>
      <c r="AW527" s="237"/>
      <c r="AX527" s="39"/>
      <c r="AY527" s="12">
        <f>IF(D527="","*",IFERROR(IF(ISODD(COUNT(AS527:AX527)),"ERRO",SUM((AT527-AS527),(AV527-AU527),(AX527-AW527))),"ERRO"))</f>
        <v>0</v>
      </c>
      <c r="AZ527" s="14"/>
      <c r="BA527" s="72"/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3" t="str">
        <f>IFERROR(_xlfn.XLOOKUP(AO527, BASE_MAPA!$D$2:$D$260, BASE_MAPA!$I$2:$I$260), "ERRO")</f>
        <v>ZKE</v>
      </c>
      <c r="BF527" s="256" t="str">
        <f>IF(BS_CONTROLE[[#This Row],[Responsavel pelo boletim]]=0, "-", BS_CONTROLE[[#This Row],[Responsavel pelo boletim]])</f>
        <v>Felipe</v>
      </c>
      <c r="BG527" s="16"/>
      <c r="BH527" s="17">
        <v>1</v>
      </c>
      <c r="BI527" s="17"/>
      <c r="BJ527" s="277" t="s">
        <v>1688</v>
      </c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7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1689</v>
      </c>
      <c r="W528" s="256" t="s">
        <v>1098</v>
      </c>
      <c r="X528" s="52" t="s">
        <v>667</v>
      </c>
      <c r="Y528" s="231" t="s">
        <v>670</v>
      </c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tr">
        <f>IF(BS_CONTROLE[[#This Row],[Atividade]]=0, "-", BS_CONTROLE[[#This Row],[Atividade]])</f>
        <v>MECANIZAÇÃO - SOCADORA</v>
      </c>
      <c r="AJ528" s="9" t="str">
        <f>IF(D528="","*",VLOOKUP(AI528,BS_ATIVIDADE[#Data],3,FALSE))</f>
        <v>MECANIZAÇÃO - SOCADORA</v>
      </c>
      <c r="AK528" s="273" t="str">
        <f>IF(BS_CONTROLE[[#This Row],[Local - Partida]]=0, "-", BS_CONTROLE[[#This Row],[Local - Partida]])</f>
        <v>ZEM1302</v>
      </c>
      <c r="AL528" s="273" t="str">
        <f>IF(BS_CONTROLE[[#This Row],[Local - Encerramento]]=0, "-", BS_CONTROLE[[#This Row],[Local - Encerramento]])</f>
        <v>ZEM1302</v>
      </c>
      <c r="AM528" s="273" t="str">
        <f>IF(BS_CONTROLE[[#This Row],[Entre - Estações]]=0, "-", BS_CONTROLE[[#This Row],[Entre - Estações]])</f>
        <v>ZYQ-ZEM</v>
      </c>
      <c r="AN528" s="273" t="str">
        <f>IF(BS_CONTROLE[[#This Row],[SB]]=0, "-", BS_CONTROLE[[#This Row],[SB]])</f>
        <v>ZEM2</v>
      </c>
      <c r="AO528" s="254">
        <f>IF(BS_CONTROLE[[#This Row],[SUB]]=0, "-", BS_CONTROLE[[#This Row],[SUB]])</f>
        <v>55</v>
      </c>
      <c r="AP528" s="255">
        <f>IF(BS_CONTROLE[[#This Row],[KM - Inicio]]=0, "-", BS_CONTROLE[[#This Row],[KM - Inicio]])</f>
        <v>134.4</v>
      </c>
      <c r="AQ528" s="255">
        <f>IF(BS_CONTROLE[[#This Row],[KM - Fim]]=0, "-", BS_CONTROLE[[#This Row],[KM - Fim]])</f>
        <v>135.19999999999999</v>
      </c>
      <c r="AR528" s="274"/>
      <c r="AS528" s="274"/>
      <c r="AT528" s="274"/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0</v>
      </c>
      <c r="AZ528" s="14"/>
      <c r="BA528" s="72"/>
      <c r="BB528" s="10" t="str">
        <f>IFERROR(_xlfn.XLOOKUP(AI528, BS_ATIVIDADE[ATIVIDADE],BS_ATIVIDADE[UNIDADE] ), "*")</f>
        <v>M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>
        <v>1</v>
      </c>
      <c r="BI528" s="17"/>
      <c r="BJ528" s="277" t="s">
        <v>1046</v>
      </c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231" t="s">
        <v>670</v>
      </c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/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>
        <v>1</v>
      </c>
      <c r="BI529" s="17"/>
      <c r="BJ529" s="277" t="s">
        <v>994</v>
      </c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1663</v>
      </c>
      <c r="X530" s="52" t="s">
        <v>667</v>
      </c>
      <c r="Y530" s="231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/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>
        <v>1</v>
      </c>
      <c r="BI530" s="17"/>
      <c r="BJ530" s="277" t="s">
        <v>1046</v>
      </c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231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>
        <v>0.3125</v>
      </c>
      <c r="AS533" s="274"/>
      <c r="AT533" s="274"/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/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>
        <v>1</v>
      </c>
      <c r="BI533" s="17"/>
      <c r="BJ533" s="277" t="s">
        <v>1690</v>
      </c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231" t="s">
        <v>670</v>
      </c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>
        <v>0.3125</v>
      </c>
      <c r="AS534" s="274"/>
      <c r="AT534" s="274"/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/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>
        <v>1</v>
      </c>
      <c r="BI534" s="17"/>
      <c r="BJ534" s="277" t="s">
        <v>1690</v>
      </c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231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>
        <v>0.3125</v>
      </c>
      <c r="AS535" s="274"/>
      <c r="AT535" s="274"/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/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>
        <v>1</v>
      </c>
      <c r="BI535" s="17"/>
      <c r="BJ535" s="277" t="s">
        <v>1690</v>
      </c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t="23.25">
      <c r="A537" s="167" t="str">
        <f t="shared" si="54"/>
        <v>V9846014</v>
      </c>
      <c r="B537" s="168">
        <v>46014</v>
      </c>
      <c r="C537" s="8"/>
      <c r="D537" s="52" t="s">
        <v>1378</v>
      </c>
      <c r="E537" s="286">
        <v>506</v>
      </c>
      <c r="F537" s="172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4" t="s">
        <v>1691</v>
      </c>
      <c r="N537" s="204" t="s">
        <v>1692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1" t="str">
        <f>IFERROR(_xlfn.XLOOKUP(J537, BASE_MAPA!$D$2:$D$260, BASE_MAPA!$I$2:$I$260), "ERRO")</f>
        <v>069-ZEV</v>
      </c>
      <c r="V537" s="269" t="s">
        <v>1668</v>
      </c>
      <c r="W537" s="173" t="s">
        <v>1669</v>
      </c>
      <c r="X537" s="52" t="s">
        <v>667</v>
      </c>
      <c r="Y537" s="231" t="s">
        <v>670</v>
      </c>
      <c r="Z537" s="158"/>
      <c r="AA537" s="144">
        <v>1</v>
      </c>
      <c r="AB537" s="71" t="s">
        <v>659</v>
      </c>
      <c r="AC537" s="71" t="s">
        <v>654</v>
      </c>
      <c r="AD537" s="173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3" t="str">
        <f>IF(BS_CONTROLE[[#This Row],[Local - Partida]]=0, "-", BS_CONTROLE[[#This Row],[Local - Partida]])</f>
        <v>ZEV2</v>
      </c>
      <c r="AL537" s="273" t="str">
        <f>IF(BS_CONTROLE[[#This Row],[Local - Encerramento]]=0, "-", BS_CONTROLE[[#This Row],[Local - Encerramento]])</f>
        <v>ZPG</v>
      </c>
      <c r="AM537" s="273" t="str">
        <f>IF(BS_CONTROLE[[#This Row],[Entre - Estações]]=0, "-", BS_CONTROLE[[#This Row],[Entre - Estações]])</f>
        <v>ZEV-ZPG</v>
      </c>
      <c r="AN537" s="273" t="str">
        <f>IF(BS_CONTROLE[[#This Row],[SB]]=0, "-", BS_CONTROLE[[#This Row],[SB]])</f>
        <v>ZEVZPG</v>
      </c>
      <c r="AO537" s="254">
        <f>IF(BS_CONTROLE[[#This Row],[SUB]]=0, "-", BS_CONTROLE[[#This Row],[SUB]])</f>
        <v>92</v>
      </c>
      <c r="AP537" s="255">
        <f>IF(BS_CONTROLE[[#This Row],[KM - Inicio]]=0, "-", BS_CONTROLE[[#This Row],[KM - Inicio]])</f>
        <v>66</v>
      </c>
      <c r="AQ537" s="255" t="str">
        <f>IF(BS_CONTROLE[[#This Row],[KM - Fim]]=0, "-", BS_CONTROLE[[#This Row],[KM - Fim]])</f>
        <v>-</v>
      </c>
      <c r="AR537" s="274">
        <v>0.30555555555555558</v>
      </c>
      <c r="AS537" s="274"/>
      <c r="AT537" s="274"/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0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3" t="str">
        <f>IFERROR(_xlfn.XLOOKUP(AO537, BASE_MAPA!$D$2:$D$260, BASE_MAPA!$I$2:$I$260), "ERRO")</f>
        <v>069-ZEV</v>
      </c>
      <c r="BF537" s="256" t="str">
        <f>IF(BS_CONTROLE[[#This Row],[Responsavel pelo boletim]]=0, "-", BS_CONTROLE[[#This Row],[Responsavel pelo boletim]])</f>
        <v>Andresa / John</v>
      </c>
      <c r="BG537" s="16"/>
      <c r="BH537" s="17">
        <v>1</v>
      </c>
      <c r="BI537" s="17"/>
      <c r="BJ537" s="277" t="s">
        <v>1693</v>
      </c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Produção e Intervalo</v>
      </c>
      <c r="BR537" s="19">
        <f>IF(OR(B537="",F537=""),"*",AY537/P537)</f>
        <v>0</v>
      </c>
      <c r="BS537" s="19">
        <f>IF(OR(B537="",F537=""),"*",BA537/Q537)</f>
        <v>0</v>
      </c>
    </row>
    <row r="538" spans="1:7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231" t="s">
        <v>670</v>
      </c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/>
      <c r="AS538" s="274"/>
      <c r="AT538" s="274"/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0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>
        <v>1</v>
      </c>
      <c r="BI538" s="17"/>
      <c r="BJ538" s="277" t="s">
        <v>1046</v>
      </c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 e Intervalo</v>
      </c>
      <c r="BR538" s="19">
        <f>IF(OR(B538="",F538=""),"*",AY538/P538)</f>
        <v>0</v>
      </c>
      <c r="BS538" s="19">
        <f>IF(OR(B538="",F538=""),"*",BA538/Q538)</f>
        <v>0</v>
      </c>
    </row>
    <row r="539" spans="1:71">
      <c r="A539" s="167" t="str">
        <f t="shared" si="54"/>
        <v>ANTONI  (TP-720)46014</v>
      </c>
      <c r="B539" s="168">
        <v>46014</v>
      </c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1677</v>
      </c>
      <c r="W539" s="173" t="s">
        <v>1678</v>
      </c>
      <c r="X539" s="52" t="s">
        <v>667</v>
      </c>
      <c r="Y539" s="231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/>
      <c r="AS539" s="274"/>
      <c r="AT539" s="274"/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/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>
        <v>1</v>
      </c>
      <c r="BI539" s="17"/>
      <c r="BJ539" s="277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7" t="str">
        <f t="shared" si="54"/>
        <v>W6246014</v>
      </c>
      <c r="B540" s="168">
        <v>46014</v>
      </c>
      <c r="C540" s="8"/>
      <c r="D540" s="52" t="s">
        <v>544</v>
      </c>
      <c r="E540" s="286">
        <v>476</v>
      </c>
      <c r="F540" s="172" t="s">
        <v>331</v>
      </c>
      <c r="G540" s="159" t="str">
        <f>IF(D540="","*",VLOOKUP(F540,BS_ATIVIDADE[#All],3,FALSE))</f>
        <v>OUTROS</v>
      </c>
      <c r="H540" s="173" t="s">
        <v>178</v>
      </c>
      <c r="I540" s="173" t="s">
        <v>956</v>
      </c>
      <c r="J540" s="217">
        <v>54</v>
      </c>
      <c r="K540" s="217">
        <v>83.7</v>
      </c>
      <c r="L540" s="217" t="s">
        <v>317</v>
      </c>
      <c r="M540" s="204" t="s">
        <v>981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3">
        <v>0.3125</v>
      </c>
      <c r="P540" s="173">
        <v>4.1666666666666664E-2</v>
      </c>
      <c r="Q540" s="217">
        <v>1</v>
      </c>
      <c r="R540" s="10" t="str">
        <f>IFERROR(_xlfn.XLOOKUP(F540, BS_ATIVIDADE[ATIVIDADE],BS_ATIVIDADE[UNIDADE] ), "*")</f>
        <v>BINÁRIO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ZEV</v>
      </c>
      <c r="V540" s="198" t="s">
        <v>963</v>
      </c>
      <c r="W540" s="256" t="s">
        <v>1126</v>
      </c>
      <c r="X540" s="52" t="s">
        <v>667</v>
      </c>
      <c r="Y540" s="231" t="s">
        <v>670</v>
      </c>
      <c r="Z540" s="158"/>
      <c r="AA540" s="217">
        <v>1</v>
      </c>
      <c r="AB540" s="172" t="s">
        <v>659</v>
      </c>
      <c r="AC540" s="172" t="s">
        <v>654</v>
      </c>
      <c r="AD540" s="308">
        <v>0.27083333333333331</v>
      </c>
      <c r="AE540" s="217">
        <v>9038</v>
      </c>
      <c r="AF540" s="217" t="s">
        <v>317</v>
      </c>
      <c r="AG540" s="217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3" t="str">
        <f>IF(BS_CONTROLE[[#This Row],[Local - Partida]]=0, "-", BS_CONTROLE[[#This Row],[Local - Partida]])</f>
        <v>ZPT1051</v>
      </c>
      <c r="AL540" s="273" t="str">
        <f>IF(BS_CONTROLE[[#This Row],[Local - Encerramento]]=0, "-", BS_CONTROLE[[#This Row],[Local - Encerramento]])</f>
        <v>ZPTZDR</v>
      </c>
      <c r="AM540" s="273" t="str">
        <f>IF(BS_CONTROLE[[#This Row],[Entre - Estações]]=0, "-", BS_CONTROLE[[#This Row],[Entre - Estações]])</f>
        <v>ZPT-ZXW</v>
      </c>
      <c r="AN540" s="273" t="str">
        <f>IF(BS_CONTROLE[[#This Row],[SB]]=0, "-", BS_CONTROLE[[#This Row],[SB]])</f>
        <v>K84ZXW1</v>
      </c>
      <c r="AO540" s="254">
        <f>IF(BS_CONTROLE[[#This Row],[SUB]]=0, "-", BS_CONTROLE[[#This Row],[SUB]])</f>
        <v>54</v>
      </c>
      <c r="AP540" s="255">
        <f>IF(BS_CONTROLE[[#This Row],[KM - Inicio]]=0, "-", BS_CONTROLE[[#This Row],[KM - Inicio]])</f>
        <v>83.7</v>
      </c>
      <c r="AQ540" s="255" t="str">
        <f>IF(BS_CONTROLE[[#This Row],[KM - Fim]]=0, "-", BS_CONTROLE[[#This Row],[KM - Fim]])</f>
        <v>-</v>
      </c>
      <c r="AR540" s="274"/>
      <c r="AS540" s="274"/>
      <c r="AT540" s="274"/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/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ZEV</v>
      </c>
      <c r="BF540" s="256" t="str">
        <f>IF(BS_CONTROLE[[#This Row],[Responsavel pelo boletim]]=0, "-", BS_CONTROLE[[#This Row],[Responsavel pelo boletim]])</f>
        <v>Moisés</v>
      </c>
      <c r="BG540" s="16"/>
      <c r="BH540" s="17">
        <v>1</v>
      </c>
      <c r="BI540" s="17"/>
      <c r="BJ540" s="277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7" t="str">
        <f t="shared" si="54"/>
        <v>EDSON (TP-719)46014</v>
      </c>
      <c r="B541" s="168">
        <v>46014</v>
      </c>
      <c r="C541" s="8"/>
      <c r="D541" s="52" t="s">
        <v>588</v>
      </c>
      <c r="E541" s="286">
        <v>508</v>
      </c>
      <c r="F541" s="172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1" t="str">
        <f>IFERROR(_xlfn.XLOOKUP(J541, BASE_MAPA!$D$2:$D$260, BASE_MAPA!$I$2:$I$260), "ERRO")</f>
        <v>069-ZEV</v>
      </c>
      <c r="V541" s="269" t="s">
        <v>968</v>
      </c>
      <c r="W541" s="173" t="s">
        <v>1130</v>
      </c>
      <c r="X541" s="52" t="s">
        <v>667</v>
      </c>
      <c r="Y541" s="231" t="s">
        <v>670</v>
      </c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ZGP-ZWU</v>
      </c>
      <c r="AN541" s="273" t="str">
        <f>IF(BS_CONTROLE[[#This Row],[SB]]=0, "-", BS_CONTROLE[[#This Row],[SB]])</f>
        <v>ZGP1002</v>
      </c>
      <c r="AO541" s="254">
        <f>IF(BS_CONTROLE[[#This Row],[SUB]]=0, "-", BS_CONTROLE[[#This Row],[SUB]])</f>
        <v>92</v>
      </c>
      <c r="AP541" s="255">
        <f>IF(BS_CONTROLE[[#This Row],[KM - Inicio]]=0, "-", BS_CONTROLE[[#This Row],[KM - Inicio]])</f>
        <v>101.7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/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3" t="str">
        <f>IFERROR(_xlfn.XLOOKUP(AO541, BASE_MAPA!$D$2:$D$260, BASE_MAPA!$I$2:$I$260), "ERRO")</f>
        <v>069-ZEV</v>
      </c>
      <c r="BF541" s="256" t="str">
        <f>IF(BS_CONTROLE[[#This Row],[Responsavel pelo boletim]]=0, "-", BS_CONTROLE[[#This Row],[Responsavel pelo boletim]])</f>
        <v>Moises</v>
      </c>
      <c r="BG541" s="16"/>
      <c r="BH541" s="17">
        <v>1</v>
      </c>
      <c r="BI541" s="17"/>
      <c r="BJ541" s="277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7" t="str">
        <f t="shared" si="54"/>
        <v>JACIANO (TF-674)46014</v>
      </c>
      <c r="B542" s="168">
        <v>46014</v>
      </c>
      <c r="C542" s="8"/>
      <c r="D542" s="52" t="s">
        <v>604</v>
      </c>
      <c r="E542" s="286">
        <v>535</v>
      </c>
      <c r="F542" s="172" t="s">
        <v>502</v>
      </c>
      <c r="G542" s="159" t="str">
        <f>IF(D542="","*",VLOOKUP(F542,BS_ATIVIDADE[#All],3,FALSE))</f>
        <v>DORMENTE - SUBSTITUIÇÂO</v>
      </c>
      <c r="H542" s="173" t="s">
        <v>317</v>
      </c>
      <c r="I542" s="173" t="s">
        <v>317</v>
      </c>
      <c r="J542" s="217">
        <v>53</v>
      </c>
      <c r="K542" s="217">
        <v>109.3</v>
      </c>
      <c r="L542" s="84" t="s">
        <v>317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3">
        <v>0.45833333333333331</v>
      </c>
      <c r="P542" s="173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1" t="str">
        <f>IFERROR(_xlfn.XLOOKUP(J542, BASE_MAPA!$D$2:$D$260, BASE_MAPA!$I$2:$I$260), "ERRO")</f>
        <v>PAT-ZGM</v>
      </c>
      <c r="V542" s="269" t="s">
        <v>968</v>
      </c>
      <c r="W542" s="256" t="s">
        <v>936</v>
      </c>
      <c r="X542" s="52" t="s">
        <v>667</v>
      </c>
      <c r="Y542" s="231" t="s">
        <v>670</v>
      </c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PAT-ZGM</v>
      </c>
      <c r="AN542" s="273" t="str">
        <f>IF(BS_CONTROLE[[#This Row],[SB]]=0, "-", BS_CONTROLE[[#This Row],[SB]])</f>
        <v>PAT1102</v>
      </c>
      <c r="AO542" s="254">
        <f>IF(BS_CONTROLE[[#This Row],[SUB]]=0, "-", BS_CONTROLE[[#This Row],[SUB]])</f>
        <v>53</v>
      </c>
      <c r="AP542" s="255">
        <f>IF(BS_CONTROLE[[#This Row],[KM - Inicio]]=0, "-", BS_CONTROLE[[#This Row],[KM - Inicio]])</f>
        <v>109.3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/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3" t="str">
        <f>IFERROR(_xlfn.XLOOKUP(AO542, BASE_MAPA!$D$2:$D$260, BASE_MAPA!$I$2:$I$260), "ERRO")</f>
        <v>PAT-ZGM</v>
      </c>
      <c r="BF542" s="256" t="str">
        <f>IF(BS_CONTROLE[[#This Row],[Responsavel pelo boletim]]=0, "-", BS_CONTROLE[[#This Row],[Responsavel pelo boletim]])</f>
        <v>Moises</v>
      </c>
      <c r="BG542" s="16"/>
      <c r="BH542" s="17">
        <v>1</v>
      </c>
      <c r="BI542" s="17"/>
      <c r="BJ542" s="277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7" t="str">
        <f t="shared" si="54"/>
        <v>V8546014</v>
      </c>
      <c r="B543" s="168">
        <v>46014</v>
      </c>
      <c r="C543" s="8"/>
      <c r="D543" s="52" t="s">
        <v>512</v>
      </c>
      <c r="E543" s="286">
        <v>46</v>
      </c>
      <c r="F543" s="172" t="s">
        <v>421</v>
      </c>
      <c r="G543" s="159" t="str">
        <f>IF(D543="","*",VLOOKUP(F543,BS_ATIVIDADE[#All],3,FALSE))</f>
        <v>MECANIZAÇÃO - SOCADORA</v>
      </c>
      <c r="H543" s="173" t="s">
        <v>988</v>
      </c>
      <c r="I543" s="173" t="s">
        <v>956</v>
      </c>
      <c r="J543" s="217">
        <v>30</v>
      </c>
      <c r="K543" s="217">
        <v>114.3</v>
      </c>
      <c r="L543" s="217">
        <v>115</v>
      </c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3">
        <v>0.35416666666666669</v>
      </c>
      <c r="P543" s="173">
        <v>6.25E-2</v>
      </c>
      <c r="Q543" s="217">
        <v>700</v>
      </c>
      <c r="R543" s="10" t="str">
        <f>IFERROR(_xlfn.XLOOKUP(F543, BS_ATIVIDADE[ATIVIDADE],BS_ATIVIDADE[UNIDADE] ), "*")</f>
        <v>M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1" t="str">
        <f>IFERROR(_xlfn.XLOOKUP(J543, BASE_MAPA!$D$2:$D$260, BASE_MAPA!$I$2:$I$260), "ERRO")</f>
        <v>ZGM-109</v>
      </c>
      <c r="V543" s="198" t="s">
        <v>929</v>
      </c>
      <c r="W543" s="256" t="s">
        <v>1098</v>
      </c>
      <c r="X543" s="52" t="s">
        <v>667</v>
      </c>
      <c r="Y543" s="231" t="s">
        <v>670</v>
      </c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3" t="str">
        <f>IF(BS_CONTROLE[[#This Row],[Local - Partida]]=0, "-", BS_CONTROLE[[#This Row],[Local - Partida]])</f>
        <v>109ZPT2</v>
      </c>
      <c r="AL543" s="273" t="str">
        <f>IF(BS_CONTROLE[[#This Row],[Local - Encerramento]]=0, "-", BS_CONTROLE[[#This Row],[Local - Encerramento]])</f>
        <v>ZPTZDR</v>
      </c>
      <c r="AM543" s="273" t="str">
        <f>IF(BS_CONTROLE[[#This Row],[Entre - Estações]]=0, "-", BS_CONTROLE[[#This Row],[Entre - Estações]])</f>
        <v>ZGM1</v>
      </c>
      <c r="AN543" s="273" t="str">
        <f>IF(BS_CONTROLE[[#This Row],[SB]]=0, "-", BS_CONTROLE[[#This Row],[SB]])</f>
        <v>ZGM1</v>
      </c>
      <c r="AO543" s="254">
        <f>IF(BS_CONTROLE[[#This Row],[SUB]]=0, "-", BS_CONTROLE[[#This Row],[SUB]])</f>
        <v>30</v>
      </c>
      <c r="AP543" s="255">
        <f>IF(BS_CONTROLE[[#This Row],[KM - Inicio]]=0, "-", BS_CONTROLE[[#This Row],[KM - Inicio]])</f>
        <v>114.3</v>
      </c>
      <c r="AQ543" s="255">
        <f>IF(BS_CONTROLE[[#This Row],[KM - Fim]]=0, "-", BS_CONTROLE[[#This Row],[KM - Fim]])</f>
        <v>115</v>
      </c>
      <c r="AR543" s="274"/>
      <c r="AS543" s="274"/>
      <c r="AT543" s="274"/>
      <c r="AU543" s="237"/>
      <c r="AV543" s="237"/>
      <c r="AW543" s="237"/>
      <c r="AX543" s="39"/>
      <c r="AY543" s="12">
        <f>IF(D543="","*",IFERROR(IF(ISODD(COUNT(AS543:AX543)),"ERRO",SUM((AT543-AS543),(AV543-AU543),(AX543-AW543))),"ERRO"))</f>
        <v>0</v>
      </c>
      <c r="AZ543" s="14"/>
      <c r="BA543" s="72"/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3" t="str">
        <f>IFERROR(_xlfn.XLOOKUP(AO543, BASE_MAPA!$D$2:$D$260, BASE_MAPA!$I$2:$I$260), "ERRO")</f>
        <v>ZGM-109</v>
      </c>
      <c r="BF543" s="256" t="str">
        <f>IF(BS_CONTROLE[[#This Row],[Responsavel pelo boletim]]=0, "-", BS_CONTROLE[[#This Row],[Responsavel pelo boletim]])</f>
        <v>Saulo</v>
      </c>
      <c r="BG543" s="16"/>
      <c r="BH543" s="17">
        <v>1</v>
      </c>
      <c r="BI543" s="17"/>
      <c r="BJ543" s="277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7:AG528 AG537:AG538 AG542 AG540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72.5703125" style="194" customWidth="1"/>
    <col min="9" max="16384" width="9.140625" style="194"/>
  </cols>
  <sheetData>
    <row r="1" spans="3:8">
      <c r="C1" s="383" t="s">
        <v>1694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 ht="34.5" customHeight="1">
      <c r="C3" s="318" t="s">
        <v>409</v>
      </c>
      <c r="D3" s="318" t="s">
        <v>1695</v>
      </c>
      <c r="E3" s="318" t="s">
        <v>1696</v>
      </c>
      <c r="F3" s="318" t="s">
        <v>1697</v>
      </c>
      <c r="G3" s="323" t="s">
        <v>1698</v>
      </c>
      <c r="H3" s="318" t="s">
        <v>1699</v>
      </c>
    </row>
    <row r="4" spans="3:8">
      <c r="C4" s="400"/>
      <c r="D4" s="400"/>
      <c r="E4" s="401"/>
      <c r="F4" s="400"/>
      <c r="G4" s="402"/>
      <c r="H4" s="400"/>
    </row>
    <row r="5" spans="3:8">
      <c r="C5" s="319" t="s">
        <v>541</v>
      </c>
      <c r="D5" s="319" t="s">
        <v>1700</v>
      </c>
      <c r="E5" s="320">
        <v>46013</v>
      </c>
      <c r="F5" s="319">
        <v>7000</v>
      </c>
      <c r="G5" s="324" t="s">
        <v>1701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1702</v>
      </c>
      <c r="G6" s="324" t="s">
        <v>1701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1703</v>
      </c>
      <c r="G7" s="325" t="s">
        <v>1704</v>
      </c>
      <c r="H7" s="321" t="s">
        <v>1705</v>
      </c>
    </row>
    <row r="8" spans="3:8">
      <c r="C8" s="319" t="s">
        <v>543</v>
      </c>
      <c r="D8" s="319">
        <v>7663</v>
      </c>
      <c r="E8" s="320">
        <v>46008</v>
      </c>
      <c r="F8" s="319" t="s">
        <v>1706</v>
      </c>
      <c r="G8" s="324" t="s">
        <v>1707</v>
      </c>
      <c r="H8" s="319" t="s">
        <v>1708</v>
      </c>
    </row>
    <row r="9" spans="3:8">
      <c r="C9" s="319" t="s">
        <v>463</v>
      </c>
      <c r="D9" s="319" t="s">
        <v>1709</v>
      </c>
      <c r="E9" s="320">
        <v>45993</v>
      </c>
      <c r="F9" s="319">
        <v>12000</v>
      </c>
      <c r="G9" s="324" t="s">
        <v>1710</v>
      </c>
      <c r="H9" s="319"/>
    </row>
    <row r="10" spans="3:8" ht="29.25">
      <c r="C10" s="319" t="s">
        <v>463</v>
      </c>
      <c r="D10" s="319" t="s">
        <v>1711</v>
      </c>
      <c r="E10" s="320">
        <v>45993</v>
      </c>
      <c r="F10" s="319">
        <v>9000</v>
      </c>
      <c r="G10" s="324" t="s">
        <v>1712</v>
      </c>
      <c r="H10" s="319"/>
    </row>
    <row r="11" spans="3:8" ht="29.25">
      <c r="C11" s="319" t="s">
        <v>463</v>
      </c>
      <c r="D11" s="319" t="s">
        <v>1713</v>
      </c>
      <c r="E11" s="320">
        <v>45993</v>
      </c>
      <c r="F11" s="319">
        <v>10000</v>
      </c>
      <c r="G11" s="324" t="s">
        <v>1712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1714</v>
      </c>
      <c r="G12" s="324" t="s">
        <v>1715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4" t="s">
        <v>1716</v>
      </c>
      <c r="C2" s="384"/>
      <c r="D2" s="384"/>
      <c r="E2" s="384"/>
      <c r="F2" s="384"/>
      <c r="G2" s="384"/>
    </row>
    <row r="3" spans="2:8" ht="20.25" customHeight="1">
      <c r="B3" s="385"/>
      <c r="C3" s="385"/>
      <c r="D3" s="385"/>
      <c r="E3" s="385"/>
      <c r="F3" s="385"/>
      <c r="G3" s="385"/>
    </row>
    <row r="4" spans="2:8">
      <c r="B4" s="323" t="s">
        <v>1717</v>
      </c>
      <c r="C4" s="323" t="s">
        <v>1718</v>
      </c>
      <c r="D4" s="323" t="s">
        <v>1719</v>
      </c>
      <c r="E4" s="323" t="s">
        <v>1720</v>
      </c>
      <c r="F4" s="323" t="s">
        <v>8</v>
      </c>
      <c r="G4" s="323" t="s">
        <v>1721</v>
      </c>
    </row>
    <row r="5" spans="2:8">
      <c r="B5" s="326" t="s">
        <v>1153</v>
      </c>
      <c r="C5" s="326">
        <v>314978</v>
      </c>
      <c r="D5" s="326" t="s">
        <v>1722</v>
      </c>
      <c r="E5" s="326" t="s">
        <v>541</v>
      </c>
      <c r="F5" s="326" t="s">
        <v>101</v>
      </c>
      <c r="G5" s="327">
        <v>46143</v>
      </c>
    </row>
    <row r="6" spans="2:8">
      <c r="B6" s="326" t="s">
        <v>1723</v>
      </c>
      <c r="C6" s="326">
        <v>256790</v>
      </c>
      <c r="D6" s="326" t="s">
        <v>1724</v>
      </c>
      <c r="E6" s="326" t="s">
        <v>541</v>
      </c>
      <c r="F6" s="326" t="s">
        <v>1725</v>
      </c>
      <c r="G6" s="327">
        <v>45992</v>
      </c>
    </row>
    <row r="7" spans="2:8">
      <c r="B7" s="326" t="s">
        <v>1726</v>
      </c>
      <c r="C7" s="326">
        <v>265193</v>
      </c>
      <c r="D7" s="326" t="s">
        <v>1727</v>
      </c>
      <c r="E7" s="326" t="s">
        <v>542</v>
      </c>
      <c r="F7" s="326" t="s">
        <v>1500</v>
      </c>
      <c r="G7" s="326" t="s">
        <v>1728</v>
      </c>
    </row>
    <row r="8" spans="2:8">
      <c r="B8" s="326" t="s">
        <v>1729</v>
      </c>
      <c r="C8" s="326">
        <v>293716</v>
      </c>
      <c r="D8" s="326" t="s">
        <v>1730</v>
      </c>
      <c r="E8" s="326" t="s">
        <v>542</v>
      </c>
      <c r="F8" s="326" t="s">
        <v>1500</v>
      </c>
      <c r="G8" s="327">
        <v>46204</v>
      </c>
    </row>
    <row r="9" spans="2:8">
      <c r="B9" s="326" t="s">
        <v>1731</v>
      </c>
      <c r="C9" s="326">
        <v>257258</v>
      </c>
      <c r="D9" s="326" t="s">
        <v>1732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1733</v>
      </c>
      <c r="C10" s="326">
        <v>371147</v>
      </c>
      <c r="D10" s="326" t="s">
        <v>1734</v>
      </c>
      <c r="E10" s="326" t="s">
        <v>543</v>
      </c>
      <c r="F10" s="326" t="s">
        <v>144</v>
      </c>
      <c r="G10" s="326" t="s">
        <v>1728</v>
      </c>
    </row>
    <row r="11" spans="2:8">
      <c r="B11" s="326" t="s">
        <v>1735</v>
      </c>
      <c r="C11" s="326">
        <v>259230</v>
      </c>
      <c r="D11" s="326" t="s">
        <v>1736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1737</v>
      </c>
      <c r="C12" s="326">
        <v>370705</v>
      </c>
      <c r="D12" s="326"/>
      <c r="E12" s="326" t="s">
        <v>543</v>
      </c>
      <c r="F12" s="326" t="s">
        <v>144</v>
      </c>
      <c r="G12" s="326" t="s">
        <v>1728</v>
      </c>
    </row>
    <row r="13" spans="2:8">
      <c r="B13" s="326" t="s">
        <v>1738</v>
      </c>
      <c r="C13" s="326">
        <v>258542</v>
      </c>
      <c r="D13" s="326" t="s">
        <v>1739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1740</v>
      </c>
      <c r="C14" s="326">
        <v>257050</v>
      </c>
      <c r="D14" s="326" t="s">
        <v>1741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1742</v>
      </c>
      <c r="W1" s="391"/>
      <c r="X1" s="391"/>
      <c r="Y1" s="104"/>
    </row>
    <row r="2" spans="1:25" s="101" customFormat="1" ht="11.25" customHeight="1">
      <c r="A2" s="105" t="s">
        <v>1743</v>
      </c>
      <c r="B2" s="105" t="s">
        <v>1744</v>
      </c>
      <c r="C2" s="105" t="s">
        <v>313</v>
      </c>
      <c r="D2" s="106" t="s">
        <v>874</v>
      </c>
      <c r="E2" s="106" t="s">
        <v>875</v>
      </c>
      <c r="F2" s="106" t="s">
        <v>1745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1746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31" t="str">
        <f>IF(SP_SUL!N527="","*",SP_SUL!N527)</f>
        <v>102ZKW2</v>
      </c>
      <c r="M525" s="111">
        <f>IF(SP_SUL!J527="","*",SP_SUL!J527)</f>
        <v>55</v>
      </c>
      <c r="N525" s="265">
        <f>IF(SP_SUL!K527="","*",SP_SUL!K527)</f>
        <v>102</v>
      </c>
      <c r="O525" s="265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31" t="str">
        <f>IF(SP_SUL!N537="","*",SP_SUL!N537)</f>
        <v>ZEVZPG</v>
      </c>
      <c r="M535" s="111">
        <f>IF(SP_SUL!J537="","*",SP_SUL!J537)</f>
        <v>92</v>
      </c>
      <c r="N535" s="265">
        <f>IF(SP_SUL!K537="","*",SP_SUL!K537)</f>
        <v>66</v>
      </c>
      <c r="O535" s="265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31" t="str">
        <f>IF(SP_SUL!N540="","*",SP_SUL!N540)</f>
        <v>K84ZXW1</v>
      </c>
      <c r="M538" s="111">
        <f>IF(SP_SUL!J540="","*",SP_SUL!J540)</f>
        <v>54</v>
      </c>
      <c r="N538" s="265">
        <f>IF(SP_SUL!K540="","*",SP_SUL!K540)</f>
        <v>83.7</v>
      </c>
      <c r="O538" s="265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31" t="str">
        <f>IF(SP_SUL!N541="","*",SP_SUL!N541)</f>
        <v>ZGP1002</v>
      </c>
      <c r="M539" s="111">
        <f>IF(SP_SUL!J541="","*",SP_SUL!J541)</f>
        <v>92</v>
      </c>
      <c r="N539" s="265">
        <f>IF(SP_SUL!K541="","*",SP_SUL!K541)</f>
        <v>101.7</v>
      </c>
      <c r="O539" s="265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31" t="str">
        <f>IF(SP_SUL!N542="","*",SP_SUL!N542)</f>
        <v>PAT1102</v>
      </c>
      <c r="M540" s="111">
        <f>IF(SP_SUL!J542="","*",SP_SUL!J542)</f>
        <v>53</v>
      </c>
      <c r="N540" s="265">
        <f>IF(SP_SUL!K542="","*",SP_SUL!K542)</f>
        <v>109.3</v>
      </c>
      <c r="O540" s="265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31" t="str">
        <f>IF(SP_SUL!N543="","*",SP_SUL!N543)</f>
        <v>ZGM1</v>
      </c>
      <c r="M541" s="111">
        <f>IF(SP_SUL!J543="","*",SP_SUL!J543)</f>
        <v>30</v>
      </c>
      <c r="N541" s="265">
        <f>IF(SP_SUL!K543="","*",SP_SUL!K543)</f>
        <v>114.3</v>
      </c>
      <c r="O541" s="265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1747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1748</v>
      </c>
      <c r="D5" s="393"/>
      <c r="E5" s="393"/>
      <c r="F5" s="393"/>
      <c r="G5" s="393"/>
      <c r="H5" s="393"/>
      <c r="I5" s="393"/>
      <c r="J5" s="394"/>
      <c r="K5" s="395" t="s">
        <v>1749</v>
      </c>
      <c r="L5" s="396"/>
      <c r="M5" s="396"/>
      <c r="N5" s="396"/>
      <c r="O5" s="397" t="s">
        <v>1750</v>
      </c>
      <c r="P5" s="398"/>
      <c r="Q5" s="399"/>
    </row>
    <row r="6" spans="1:17" s="94" customFormat="1" ht="15.75" customHeight="1">
      <c r="A6" s="88" t="s">
        <v>1745</v>
      </c>
      <c r="B6" s="95" t="s">
        <v>1744</v>
      </c>
      <c r="C6" s="96" t="s">
        <v>874</v>
      </c>
      <c r="D6" s="97" t="s">
        <v>875</v>
      </c>
      <c r="E6" s="96" t="s">
        <v>1751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1752</v>
      </c>
      <c r="M6" s="139" t="s">
        <v>335</v>
      </c>
      <c r="N6" s="140" t="s">
        <v>869</v>
      </c>
      <c r="O6" s="241" t="s">
        <v>912</v>
      </c>
      <c r="P6" s="157"/>
      <c r="Q6" s="193" t="s">
        <v>1753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2</v>
      </c>
      <c r="P471" s="91"/>
      <c r="Q471" s="145" t="str">
        <f>IF($A$2=1,IF(SP_SUL!BJ492="","*",SP_SUL!BJ492),IF(SP_SUL!BK492="","*",SP_SUL!BK492))</f>
        <v>TP pronto 12h17 / Em intervalo das 13h59 até 16h59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autorizado entrada na via 12h26 / Em deslocamento para ZEM/Recolhido em ZKW devido risco de exceder jornada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operador 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Sem oportunidade de faixa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 Sem oportunidade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2</v>
      </c>
      <c r="P488" s="91"/>
      <c r="Q488" s="145" t="str">
        <f>IF($A$2=1,IF(SP_SUL!BJ509="","*",SP_SUL!BJ509),IF(SP_SUL!BK509="","*",SP_SUL!BK509))</f>
        <v>Realizado intervalo das 13h35 até 15h35.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 xml:space="preserve">MC1 07h44 /  previsão de faixa após U58 / cancelado  devido risco de exceder jornada / 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MC1 11h36 / autorizado entrada na via 12h23. Em deslocamento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0</v>
      </c>
      <c r="P493" s="91"/>
      <c r="Q493" s="145" t="str">
        <f>IF($A$2=1,IF(SP_SUL!BJ514="","*",SP_SUL!BJ514),IF(SP_SUL!BK514="","*",SP_SUL!BK514))</f>
        <v>TP não solicitou intervalo.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>
        <f>IF(SP_SUL!BH522="","*",SP_SUL!BH522)</f>
        <v>1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>
        <f>IF(SP_SUL!BH523="","*",SP_SUL!BH523)</f>
        <v>0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>
        <f>IF(SP_SUL!BH524="","*",SP_SUL!BH524)</f>
        <v>1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>
        <f>IF(SP_SUL!BH525="","*",SP_SUL!BH525)</f>
        <v>1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>
        <f>IF(SP_SUL!BH526="","*",SP_SUL!BH526)</f>
        <v>1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4">
        <f>IF(SP_SUL!BH527="","*",SP_SUL!BH527)</f>
        <v>1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ZEM1302</v>
      </c>
      <c r="L510" s="141" t="str">
        <f>IF(SP_SUL!AM528="","*",SP_SUL!AM528)</f>
        <v>ZYQ-ZEM</v>
      </c>
      <c r="M510" s="141">
        <f>IF(SP_SUL!AP528="","*",SP_SUL!AP528)</f>
        <v>134.4</v>
      </c>
      <c r="N510" s="141" t="str">
        <f>IF(SP_SUL!AM528="","*",SP_SUL!AM528)</f>
        <v>ZYQ-ZEM</v>
      </c>
      <c r="O510" s="174">
        <f>IF(SP_SUL!BH528="","*",SP_SUL!BH528)</f>
        <v>1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>
        <f>IF(SP_SUL!BH529="","*",SP_SUL!BH529)</f>
        <v>1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>
        <f>IF(SP_SUL!BH530="","*",SP_SUL!BH530)</f>
        <v>1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>
        <f>IF(SP_SUL!BH533="","*",SP_SUL!BH533)</f>
        <v>1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>
        <f>IF(SP_SUL!BH534="","*",SP_SUL!BH534)</f>
        <v>1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>
        <f>IF(SP_SUL!BH535="","*",SP_SUL!BH535)</f>
        <v>1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4">
        <f>IF(SP_SUL!BH537="","*",SP_SUL!BH537)</f>
        <v>1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>
        <f>IF(SP_SUL!BH538="","*",SP_SUL!BH538)</f>
        <v>1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>
        <f>IF(SP_SUL!BH539="","*",SP_SUL!BH539)</f>
        <v>1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4">
        <f>IF(SP_SUL!BH540="","*",SP_SUL!BH540)</f>
        <v>1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4">
        <f>IF(SP_SUL!BH541="","*",SP_SUL!BH541)</f>
        <v>1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4">
        <f>IF(SP_SUL!BH542="","*",SP_SUL!BH542)</f>
        <v>1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4">
        <f>IF(SP_SUL!BH543="","*",SP_SUL!BH543)</f>
        <v>1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1753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1754</v>
      </c>
      <c r="C2" s="96" t="s">
        <v>859</v>
      </c>
      <c r="D2" s="96" t="s">
        <v>861</v>
      </c>
      <c r="E2" s="96" t="s">
        <v>1755</v>
      </c>
      <c r="F2" s="96" t="s">
        <v>1756</v>
      </c>
      <c r="G2" s="96" t="s">
        <v>1757</v>
      </c>
      <c r="H2" s="96" t="s">
        <v>1758</v>
      </c>
      <c r="I2" s="96" t="s">
        <v>1759</v>
      </c>
      <c r="J2" s="96" t="s">
        <v>1760</v>
      </c>
      <c r="K2" s="131" t="s">
        <v>1761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 t="str">
        <f>IF(SP_SUL!B532="","*",SP_SUL!B532)</f>
        <v>*</v>
      </c>
      <c r="D530" s="121" t="str">
        <f>IF(SP_SUL!D532="","*",SP_SUL!D532)</f>
        <v>*</v>
      </c>
      <c r="E530" s="121" t="str">
        <f>IF(SP_SUL!H532="","*",SP_SUL!H532)</f>
        <v>*</v>
      </c>
      <c r="F530" s="137" t="str">
        <f>IF(SP_SUL!M532="","*",SP_SUL!M532)</f>
        <v>-</v>
      </c>
      <c r="G530" s="121" t="str">
        <f>IF(SP_SUL!I532="","*",SP_SUL!I532)</f>
        <v>*</v>
      </c>
      <c r="H530" s="121" t="str">
        <f>IF(SP_SUL!AB532="","*",SP_SUL!AB532)</f>
        <v>*</v>
      </c>
      <c r="I530" s="121" t="str">
        <f>IF(SP_SUL!AC532="","*",SP_SUL!AC532)</f>
        <v>*</v>
      </c>
      <c r="J530" s="122" t="str">
        <f>IF(SP_SUL!AA532="","*",SP_SUL!AA532)</f>
        <v>*</v>
      </c>
      <c r="K530" s="134" t="str">
        <f>IF(SP_SUL!AD532="","*",SP_SUL!AD532)</f>
        <v>*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 t="str">
        <f>IF(SP_SUL!B546="","*",SP_SUL!B546)</f>
        <v>*</v>
      </c>
      <c r="D544" s="121" t="str">
        <f>IF(SP_SUL!D546="","*",SP_SUL!D546)</f>
        <v>*</v>
      </c>
      <c r="E544" s="121" t="str">
        <f>IF(SP_SUL!H546="","*",SP_SUL!H546)</f>
        <v>*</v>
      </c>
      <c r="F544" s="137" t="str">
        <f>IF(SP_SUL!M546="","*",SP_SUL!M546)</f>
        <v>-</v>
      </c>
      <c r="G544" s="121" t="str">
        <f>IF(SP_SUL!I546="","*",SP_SUL!I546)</f>
        <v>*</v>
      </c>
      <c r="H544" s="121" t="str">
        <f>IF(SP_SUL!AB546="","*",SP_SUL!AB546)</f>
        <v>*</v>
      </c>
      <c r="I544" s="121" t="str">
        <f>IF(SP_SUL!AC546="","*",SP_SUL!AC546)</f>
        <v>*</v>
      </c>
      <c r="J544" s="122" t="str">
        <f>IF(SP_SUL!AA546="","*",SP_SUL!AA546)</f>
        <v>*</v>
      </c>
      <c r="K544" s="134" t="str">
        <f>IF(SP_SUL!AD546="","*",SP_SUL!AD546)</f>
        <v>*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*</v>
      </c>
      <c r="E545" s="121" t="str">
        <f>IF(SP_SUL!H547="","*",SP_SUL!H547)</f>
        <v>*</v>
      </c>
      <c r="F545" s="137" t="str">
        <f>IF(SP_SUL!M547="","*",SP_SUL!M547)</f>
        <v>-</v>
      </c>
      <c r="G545" s="121" t="str">
        <f>IF(SP_SUL!I547="","*",SP_SUL!I547)</f>
        <v>*</v>
      </c>
      <c r="H545" s="121" t="str">
        <f>IF(SP_SUL!AB547="","*",SP_SUL!AB547)</f>
        <v>*</v>
      </c>
      <c r="I545" s="121" t="str">
        <f>IF(SP_SUL!AC547="","*",SP_SUL!AC547)</f>
        <v>*</v>
      </c>
      <c r="J545" s="122" t="str">
        <f>IF(SP_SUL!AA547="","*",SP_SUL!AA547)</f>
        <v>*</v>
      </c>
      <c r="K545" s="134" t="str">
        <f>IF(SP_SUL!AD547="","*",SP_SUL!AD547)</f>
        <v>*</v>
      </c>
    </row>
    <row r="546" spans="2:11" s="123" customFormat="1" hidden="1">
      <c r="B546" s="120" t="str">
        <f>IF(SP_SUL!Y548="","*",SP_SUL!Y548)</f>
        <v>*</v>
      </c>
      <c r="C546" s="121" t="str">
        <f>IF(SP_SUL!B548="","*",SP_SUL!B548)</f>
        <v>*</v>
      </c>
      <c r="D546" s="121" t="str">
        <f>IF(SP_SUL!D548="","*",SP_SUL!D548)</f>
        <v>*</v>
      </c>
      <c r="E546" s="121" t="str">
        <f>IF(SP_SUL!H548="","*",SP_SUL!H548)</f>
        <v>*</v>
      </c>
      <c r="F546" s="137" t="str">
        <f>IF(SP_SUL!M548="","*",SP_SUL!M548)</f>
        <v>-</v>
      </c>
      <c r="G546" s="121" t="str">
        <f>IF(SP_SUL!I548="","*",SP_SUL!I548)</f>
        <v>*</v>
      </c>
      <c r="H546" s="121" t="str">
        <f>IF(SP_SUL!AB548="","*",SP_SUL!AB548)</f>
        <v>*</v>
      </c>
      <c r="I546" s="121" t="str">
        <f>IF(SP_SUL!AC548="","*",SP_SUL!AC548)</f>
        <v>*</v>
      </c>
      <c r="J546" s="122" t="str">
        <f>IF(SP_SUL!AA548="","*",SP_SUL!AA548)</f>
        <v>*</v>
      </c>
      <c r="K546" s="134" t="str">
        <f>IF(SP_SUL!AD548="","*",SP_SUL!AD548)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2025-12-23T10:48:42Z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