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50" documentId="8_{B6337239-1A00-434D-AAD0-422EA1FEB5AE}" xr6:coauthVersionLast="47" xr6:coauthVersionMax="47" xr10:uidLastSave="{64E8A923-19AC-404E-92CA-5CEF32E7FCA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8" i="1" l="1"/>
  <c r="AJ275" i="1"/>
  <c r="AJ271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<sst xmlns="http://schemas.openxmlformats.org/spreadsheetml/2006/main" count="6269" uniqueCount="1663">
  <si>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</si>
  <si>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</si>
  <si>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</si>
  <si>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</si>
  <si>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</si>
  <si>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</si>
  <si>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</si>
  <si>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</si>
  <si>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</si>
  <si>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</si>
  <si>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</si>
  <si>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</si>
  <si>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</si>
  <si>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</si>
  <si>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</si>
  <si>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</si>
  <si>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</si>
  <si>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</si>
  <si>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</si>
  <si>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</si>
  <si>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</si>
  <si>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</si>
  <si>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</si>
  <si>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</si>
  <si>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</si>
  <si>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</si>
  <si>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</si>
  <si>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</si>
  <si>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</si>
  <si>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</si>
  <si>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</si>
  <si>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</si>
  <si>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</si>
  <si>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</si>
  <si>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</si>
  <si>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</si>
  <si>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</si>
  <si>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</si>
  <si>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</si>
  <si>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</si>
  <si>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</si>
  <si>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</si>
  <si>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</si>
  <si>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</si>
  <si>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</si>
  <si>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</si>
  <si>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</si>
  <si>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</si>
  <si>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</si>
  <si>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</si>
  <si>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</si>
  <si>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</si>
  <si>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</si>
  <si>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</si>
  <si>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</si>
  <si>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</si>
  <si>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</si>
  <si>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</si>
  <si>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</si>
  <si>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</si>
  <si>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</si>
  <si>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</si>
  <si>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</si>
  <si>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</si>
  <si>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</si>
  <si>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</si>
  <si>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</si>
  <si>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</si>
  <si>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</si>
  <si>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</si>
  <si>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</si>
  <si>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</si>
  <si>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</si>
  <si>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</si>
  <si>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</si>
  <si>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</si>
  <si>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</si>
  <si>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</si>
  <si>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</si>
  <si>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</si>
  <si>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</si>
  <si>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</si>
  <si>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</si>
  <si>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</si>
  <si>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</si>
  <si>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</si>
  <si>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</si>
  <si>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</si>
  <si>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</si>
  <si>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</si>
  <si>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</si>
  <si>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</si>
  <si>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</si>
  <si>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</si>
  <si>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</si>
  <si>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</si>
  <si>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</si>
  <si>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</si>
  <si>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</si>
  <si>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</si>
  <si>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</si>
  <si>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</si>
  <si>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</si>
  <si>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</si>
  <si>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</si>
  <si>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</si>
  <si>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</si>
  <si>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</si>
  <si>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</si>
  <si>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</si>
  <si>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</si>
  <si>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</si>
  <si>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</si>
  <si>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</si>
  <si>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</si>
  <si>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</si>
  <si>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</si>
  <si>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</si>
  <si>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</si>
  <si>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</si>
  <si>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</si>
  <si>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</si>
  <si>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</si>
  <si>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</si>
  <si>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</si>
  <si>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</si>
  <si>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</si>
  <si>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</si>
  <si>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</si>
  <si>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</si>
  <si>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</si>
  <si>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</si>
  <si>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</si>
  <si>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</si>
  <si>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</si>
  <si>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</si>
  <si>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</si>
  <si>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</si>
  <si>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</si>
  <si>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</si>
  <si>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</si>
  <si>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</si>
  <si>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</si>
  <si>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</si>
  <si>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</si>
  <si>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</si>
  <si>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</si>
  <si>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</si>
  <si>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</si>
  <si>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</si>
  <si>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</si>
  <si>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</si>
  <si>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</si>
  <si>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</si>
  <si>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</si>
  <si>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</si>
  <si>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</si>
  <si>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</si>
  <si>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</si>
  <si>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</si>
  <si>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</si>
  <si>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</si>
  <si>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</si>
  <si>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</si>
  <si>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</si>
  <si>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</si>
  <si>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</si>
  <si>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</si>
  <si>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</si>
  <si>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</si>
  <si>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</si>
  <si>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</si>
  <si>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</si>
  <si>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</si>
  <si>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</si>
  <si>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</si>
  <si>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</si>
  <si>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</si>
  <si>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</si>
  <si>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</si>
  <si>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</si>
  <si>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</si>
  <si>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</si>
  <si>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</si>
  <si>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</si>
  <si>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</si>
  <si>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</si>
  <si>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</si>
  <si>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</si>
  <si>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</si>
  <si>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</si>
  <si>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</si>
  <si>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</si>
  <si>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</si>
  <si>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</si>
  <si>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</si>
  <si>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</si>
  <si>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</si>
  <si>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</si>
  <si>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</si>
  <si>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</si>
  <si>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</si>
  <si>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</si>
  <si>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</si>
  <si>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</si>
  <si>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</si>
  <si>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</si>
  <si>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</si>
  <si>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</si>
  <si>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</si>
  <si>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</si>
  <si>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</si>
  <si>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</si>
  <si>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</si>
  <si>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</si>
  <si>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</si>
  <si>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</si>
  <si>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</si>
  <si>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</si>
  <si>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</si>
  <si>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</si>
  <si>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</si>
  <si>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</si>
  <si>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</si>
  <si>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</si>
  <si>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</si>
  <si>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</si>
  <si>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</si>
  <si>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</si>
  <si>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</si>
  <si>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</si>
  <si>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</si>
  <si>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</si>
  <si>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</si>
  <si>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</si>
  <si>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</si>
  <si>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</si>
  <si>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</si>
  <si>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</si>
  <si>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</si>
  <si>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</si>
  <si>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</si>
  <si>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</si>
  <si>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</si>
  <si>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</si>
  <si>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</si>
  <si>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</si>
  <si>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</si>
  <si>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</si>
  <si>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</si>
  <si>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</si>
  <si>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</si>
  <si>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</si>
  <si>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</si>
  <si>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</si>
  <si>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</si>
  <si>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</si>
  <si>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</si>
  <si>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</si>
  <si>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</si>
  <si>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</si>
  <si>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</si>
  <si>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</si>
  <si>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</si>
  <si>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</si>
  <si>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</si>
  <si>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</si>
  <si>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</si>
  <si>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</si>
  <si>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</si>
  <si>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</si>
  <si>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</si>
  <si>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</si>
  <si>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</si>
  <si>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</si>
  <si>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</si>
  <si>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</si>
  <si>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</si>
  <si>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</si>
  <si>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</si>
  <si>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</si>
  <si>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</si>
  <si>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</si>
  <si>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</si>
  <si>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</si>
  <si>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</si>
  <si>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</si>
  <si>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</si>
  <si>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</si>
  <si>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</si>
  <si>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</si>
  <si>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</si>
  <si>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</si>
  <si>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</si>
  <si>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</si>
  <si>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</si>
  <si>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</si>
  <si>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</si>
  <si>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</si>
  <si>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</si>
  <si>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</si>
  <si>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</si>
  <si>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</si>
  <si>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</si>
  <si>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</si>
  <si>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</si>
  <si>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</si>
  <si>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</si>
  <si>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</si>
  <si>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</si>
  <si>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</si>
  <si>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</si>
  <si>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</si>
  <si>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</si>
  <si>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</si>
  <si>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</si>
  <si>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</si>
  <si>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</si>
  <si>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</si>
  <si>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</si>
  <si>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</si>
  <si>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</si>
  <si>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</si>
  <si>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</si>
  <si>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</si>
  <si>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</si>
  <si>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</si>
  <si>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</si>
  <si>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</si>
  <si>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</si>
  <si>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</si>
  <si>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</si>
  <si>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</si>
  <si>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</si>
  <si>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</si>
  <si>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</si>
  <si>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</si>
  <si>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</si>
  <si>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</si>
  <si>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</si>
  <si>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</si>
  <si>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</si>
  <si>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</si>
  <si>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</si>
  <si>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</si>
  <si>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</si>
  <si>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</si>
  <si>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</si>
  <si>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</si>
  <si>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</si>
  <si>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</si>
  <si>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</si>
  <si>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</si>
  <si>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</si>
  <si>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</si>
  <si>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</si>
  <si>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</si>
  <si>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</si>
  <si>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</si>
  <si>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</si>
  <si>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</si>
  <si>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</si>
  <si>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</si>
  <si>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</si>
  <si>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</si>
  <si>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</si>
  <si>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</si>
  <si>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</si>
  <si>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</si>
  <si>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</si>
  <si>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</si>
  <si>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</si>
  <si>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</si>
  <si>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</si>
  <si>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</si>
  <si>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</si>
  <si>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</si>
  <si>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</si>
  <si>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</si>
  <si>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</si>
  <si>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</si>
  <si>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</si>
  <si>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</si>
  <si>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</si>
  <si>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</si>
  <si>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</si>
  <si>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</si>
  <si>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</si>
  <si>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</si>
  <si>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</si>
  <si>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</si>
  <si>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</si>
  <si>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</si>
  <si>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</si>
  <si>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</si>
  <si>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</si>
  <si>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</si>
  <si>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</si>
  <si>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</si>
  <si>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</si>
  <si>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</si>
  <si>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</si>
  <si>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</si>
  <si>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</si>
  <si>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</si>
  <si>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</si>
  <si>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</si>
  <si>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</si>
  <si>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</si>
  <si>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</si>
  <si>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</si>
  <si>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</si>
  <si>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</si>
  <si>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</si>
  <si>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</si>
  <si>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</si>
  <si>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</si>
  <si>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</si>
  <si>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</si>
  <si>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</si>
  <si>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</si>
  <si>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</si>
  <si>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</si>
  <si>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</si>
  <si>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</si>
  <si>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</si>
  <si>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</si>
  <si>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</si>
  <si>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</si>
  <si>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</si>
  <si>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</si>
  <si>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</si>
  <si>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</si>
  <si>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</si>
  <si>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</si>
  <si>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</si>
  <si>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</si>
  <si>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</si>
  <si>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</si>
  <si>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</si>
  <si>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</si>
  <si>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</si>
  <si>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</si>
  <si>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</si>
  <si>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</si>
  <si>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</si>
  <si>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</si>
  <si>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</si>
  <si>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</si>
  <si>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</si>
  <si>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</si>
  <si>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</si>
  <si>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</si>
  <si>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</si>
  <si>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</si>
  <si>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</si>
  <si>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</si>
  <si>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</si>
  <si>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</si>
  <si>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</si>
  <si>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</si>
  <si>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</si>
  <si>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</si>
  <si>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</si>
  <si>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</si>
  <si>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</si>
  <si>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</si>
  <si>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</si>
  <si>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</si>
  <si>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</si>
  <si>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</si>
  <si>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</si>
  <si>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</si>
  <si>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</si>
  <si>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</si>
  <si>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</si>
  <si>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</si>
  <si>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</si>
  <si>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</si>
  <si>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</si>
  <si>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</si>
  <si>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</si>
  <si>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</si>
  <si>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</si>
  <si>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</si>
  <si>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</si>
  <si>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</si>
  <si>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</si>
  <si>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</si>
  <si>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</si>
  <si>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</si>
  <si>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</si>
  <si>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</si>
  <si>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</si>
  <si>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</si>
  <si>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</si>
  <si>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</si>
  <si>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</si>
  <si>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</si>
  <si>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</si>
  <si>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</si>
  <si>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</si>
  <si>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</si>
  <si>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</si>
  <si>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</si>
  <si>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</si>
  <si>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</si>
  <si>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</si>
  <si>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</si>
  <si>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</si>
  <si>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</si>
  <si>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</si>
  <si>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</si>
  <si>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</si>
  <si>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</si>
  <si>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</si>
  <si>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</si>
  <si>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</si>
  <si>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</si>
  <si>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</si>
  <si>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</si>
  <si>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</si>
  <si>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</si>
  <si>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</si>
  <si>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</si>
  <si>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</si>
  <si>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</si>
  <si>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</si>
  <si>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</si>
  <si>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</si>
  <si>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</si>
  <si>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</si>
  <si>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</si>
  <si>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</si>
  <si>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</si>
  <si>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</si>
  <si>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</si>
  <si>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</si>
  <si>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</si>
  <si>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</si>
  <si>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</si>
  <si>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</si>
  <si>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</si>
  <si>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</si>
  <si>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</si>
  <si>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</si>
  <si>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</si>
  <si>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</si>
  <si>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</si>
  <si>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</si>
  <si>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</si>
  <si>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</si>
  <si>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</si>
  <si>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</si>
  <si>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</si>
  <si>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</si>
  <si>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</si>
  <si>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</si>
  <si>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</si>
  <si>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</si>
  <si>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</si>
  <si>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</si>
  <si>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</si>
  <si>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</si>
  <si>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</si>
  <si>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</si>
  <si>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</si>
  <si>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</si>
  <si>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</si>
  <si>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</si>
  <si>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</si>
  <si>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</si>
  <si>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</si>
  <si>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</si>
  <si>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</si>
  <si>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</si>
  <si>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</si>
  <si>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</si>
  <si>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</si>
  <si>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</si>
  <si>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</si>
  <si>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</si>
  <si>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</si>
  <si>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</si>
  <si>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</si>
  <si>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</si>
  <si>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</si>
  <si>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</si>
  <si>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</si>
  <si>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</si>
  <si>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</si>
  <si>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</si>
  <si>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</si>
  <si>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</si>
  <si>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</si>
  <si>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</si>
  <si>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</si>
  <si>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</si>
  <si>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</si>
  <si>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</si>
  <si>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</si>
  <si>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</si>
  <si>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</si>
  <si>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</si>
  <si>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</si>
  <si>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</si>
  <si>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</si>
  <si>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</si>
  <si>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</si>
  <si>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</si>
  <si>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</si>
  <si>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</si>
  <si>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</si>
  <si>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</si>
  <si>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</si>
  <si>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</si>
  <si>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</si>
  <si>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</si>
  <si>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</si>
  <si>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</si>
  <si>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</si>
  <si>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</si>
  <si>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</si>
  <si>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</si>
  <si>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</si>
  <si>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</si>
  <si>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</si>
  <si>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</si>
  <si>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</si>
  <si>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</si>
  <si>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</si>
  <si>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</si>
  <si>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</si>
  <si>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</si>
  <si>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</si>
  <si>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</si>
  <si>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</si>
  <si>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</si>
  <si>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</si>
  <si>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</si>
  <si>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</si>
  <si>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</si>
  <si>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</si>
  <si>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</si>
  <si>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</si>
  <si>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</si>
  <si>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</si>
  <si>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</si>
  <si>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</si>
  <si>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</si>
  <si>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</si>
  <si>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</si>
  <si>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</si>
  <si>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</si>
  <si>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</si>
  <si>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</si>
  <si>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</si>
  <si>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</si>
  <si>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</si>
  <si>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</si>
  <si>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</si>
  <si>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</si>
  <si>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</si>
  <si>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</si>
  <si>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</si>
  <si>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</si>
  <si>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</si>
  <si>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</si>
  <si>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</si>
  <si>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</si>
  <si>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</si>
  <si>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</si>
  <si>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</si>
  <si>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</si>
  <si>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</si>
  <si>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</si>
  <si>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</si>
  <si>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</si>
  <si>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</si>
  <si>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</si>
  <si>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</si>
  <si>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</si>
  <si>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</si>
  <si>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</si>
  <si>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</si>
  <si>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</si>
  <si>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</si>
  <si>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</si>
  <si>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</si>
  <si>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</si>
  <si>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</si>
  <si>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</si>
  <si>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</si>
  <si>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</si>
  <si>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</si>
  <si>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</si>
  <si>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</si>
  <si>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</si>
  <si>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</si>
  <si>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</si>
  <si>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</si>
  <si>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</si>
  <si>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</si>
  <si>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</si>
  <si>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</si>
  <si>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</si>
  <si>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</si>
  <si>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</si>
  <si>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</si>
  <si>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</si>
  <si>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</si>
  <si>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</si>
  <si>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</si>
  <si>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</si>
  <si>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</si>
  <si>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</si>
  <si>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</si>
  <si>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</si>
  <si>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</si>
  <si>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</si>
  <si>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</si>
  <si>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</si>
  <si>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</si>
  <si>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</si>
  <si>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</si>
  <si>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</si>
  <si>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</si>
  <si>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</si>
  <si>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</si>
  <si>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</si>
  <si>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</si>
  <si>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</si>
  <si>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</si>
  <si>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</si>
  <si>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</si>
  <si>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</si>
  <si>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</si>
  <si>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</si>
  <si>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</si>
  <si>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</si>
  <si>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</si>
  <si>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</si>
  <si>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</si>
  <si>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</si>
  <si>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</si>
  <si>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</si>
  <si>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</si>
  <si>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</si>
  <si>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</si>
  <si>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</si>
  <si>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</si>
  <si>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</si>
  <si>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</si>
  <si>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</si>
  <si>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</si>
  <si>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</si>
  <si>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</si>
  <si>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</si>
  <si>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</si>
  <si>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</si>
  <si>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</si>
  <si>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</si>
  <si>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</si>
  <si>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</si>
  <si>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</si>
  <si>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</si>
  <si>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</si>
  <si>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</si>
  <si>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</si>
  <si>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</si>
  <si>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</si>
  <si>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</si>
  <si>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</si>
  <si>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</si>
  <si>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</si>
  <si>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</si>
  <si>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</si>
  <si>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</si>
  <si>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</si>
  <si>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</si>
  <si>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</si>
  <si>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</si>
  <si>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</si>
  <si>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</si>
  <si>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</si>
  <si>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</si>
  <si>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</si>
  <si>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</si>
  <si>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</si>
  <si>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</si>
  <si>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</si>
  <si>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</si>
  <si>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</si>
  <si>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</si>
  <si>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</si>
  <si>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</si>
  <si>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</si>
  <si>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</si>
  <si>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</si>
  <si>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</si>
  <si>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</si>
  <si>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</si>
  <si>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</si>
  <si>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</si>
  <si>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</si>
  <si>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</si>
  <si>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</si>
  <si>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</si>
  <si>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</si>
  <si>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</si>
  <si>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</si>
  <si>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</si>
  <si>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</si>
  <si>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</si>
  <si>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</si>
  <si>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</si>
  <si>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</si>
  <si>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</si>
  <si>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</si>
  <si>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</si>
  <si>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</si>
  <si>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</si>
  <si>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</si>
  <si>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</si>
  <si>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</si>
  <si>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</si>
  <si>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</si>
  <si>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</si>
  <si>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</si>
  <si>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</si>
  <si>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</si>
  <si>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</si>
  <si>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</si>
  <si>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</si>
  <si>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</si>
  <si>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</si>
  <si>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</si>
  <si>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</si>
  <si>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</si>
  <si>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</si>
  <si>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</si>
  <si>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</si>
  <si>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</si>
  <si>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</si>
  <si>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</si>
  <si>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</si>
  <si>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</si>
  <si>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</si>
  <si>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</si>
  <si>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</si>
  <si>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</si>
  <si>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</si>
  <si>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</si>
  <si>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</si>
  <si>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</si>
  <si>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</si>
  <si>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</si>
  <si>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</si>
  <si>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</si>
  <si>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</si>
  <si>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</si>
  <si>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</si>
  <si>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</si>
  <si>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</si>
  <si>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</si>
  <si>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</si>
  <si>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</si>
  <si>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</si>
  <si>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</si>
  <si>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</si>
  <si>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</si>
  <si>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</si>
  <si>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</si>
  <si>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</si>
  <si>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</si>
  <si>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</si>
  <si>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</si>
  <si>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</si>
  <si>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</si>
  <si>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</si>
  <si>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</si>
  <si>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</si>
  <si>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</si>
  <si>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</si>
  <si>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</si>
  <si>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</si>
  <si>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</si>
  <si>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</si>
  <si>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</si>
  <si>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</si>
  <si>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</si>
  <si>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</si>
  <si>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</si>
  <si>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</si>
  <si>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</si>
  <si>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</si>
  <si>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</si>
  <si>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</si>
  <si>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</si>
  <si>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</si>
  <si>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</si>
  <si>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</si>
  <si>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</si>
  <si>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</si>
  <si>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</si>
  <si>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</si>
  <si>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</si>
  <si>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</si>
  <si>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</si>
  <si>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</si>
  <si>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</si>
  <si>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</si>
  <si>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</si>
  <si>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</si>
  <si>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</si>
  <si>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</si>
  <si>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</si>
  <si>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</si>
  <si>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</si>
  <si>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</si>
  <si>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</si>
  <si>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</si>
  <si>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</si>
  <si>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</si>
  <si>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</si>
  <si>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</si>
  <si>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</si>
  <si>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</si>
  <si>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</si>
  <si>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</si>
  <si>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</si>
  <si>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</si>
  <si>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</si>
  <si>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</si>
  <si>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</si>
  <si>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</si>
  <si>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</si>
  <si>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</si>
  <si>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</si>
  <si>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</si>
  <si>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</si>
  <si>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</si>
  <si>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</si>
  <si>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</si>
  <si>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</si>
  <si>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</si>
  <si>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</si>
  <si>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</si>
  <si>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</si>
  <si>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</si>
  <si>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</si>
  <si>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</si>
  <si>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</si>
  <si>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</si>
  <si>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</si>
  <si>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</si>
  <si>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</si>
  <si>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</si>
  <si>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</si>
  <si>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</si>
  <si>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</si>
  <si>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</si>
  <si>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</si>
  <si>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</si>
  <si>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</si>
  <si>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</si>
  <si>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</si>
  <si>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</si>
  <si>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</si>
  <si>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</si>
  <si>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</si>
  <si>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</si>
  <si>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</si>
  <si>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</si>
  <si>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</si>
  <si>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</si>
  <si>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</si>
  <si>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</si>
  <si>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</si>
  <si>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</si>
  <si>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</si>
  <si>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</si>
  <si>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</si>
  <si>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</si>
  <si>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</si>
  <si>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</si>
  <si>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</si>
  <si>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</si>
  <si>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</si>
  <si>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</si>
  <si>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</si>
  <si>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</si>
  <si>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</si>
  <si>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</si>
  <si>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</si>
  <si>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</si>
  <si>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</si>
  <si>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</si>
  <si>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</si>
  <si>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</si>
  <si>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</si>
  <si>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</si>
  <si>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</si>
  <si>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</si>
  <si>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</si>
  <si>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</si>
  <si>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</si>
  <si>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</si>
  <si>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</si>
  <si>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</si>
  <si>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</si>
  <si>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</si>
  <si>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</si>
  <si>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</si>
  <si>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</si>
  <si>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</si>
  <si>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</si>
  <si>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</si>
  <si>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</si>
  <si>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</si>
  <si>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</si>
  <si>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</si>
  <si>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</si>
  <si>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</si>
  <si>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</si>
  <si>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</si>
  <si>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</si>
  <si>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</si>
  <si>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</si>
  <si>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</si>
  <si>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</si>
  <si>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</si>
  <si>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</si>
  <si>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</si>
  <si>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</si>
  <si>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</si>
  <si>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</si>
  <si>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</si>
  <si>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</si>
  <si>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</si>
  <si>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</si>
  <si>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</si>
  <si>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</si>
  <si>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</si>
  <si>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</si>
  <si>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</si>
  <si>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</si>
  <si>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</si>
  <si>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</si>
  <si>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</si>
  <si>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</si>
  <si>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</si>
  <si>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</si>
  <si>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</si>
  <si>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</si>
  <si>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</si>
  <si>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</si>
  <si>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</si>
  <si>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</si>
  <si>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</si>
  <si>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</si>
  <si>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</si>
  <si>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</si>
  <si>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</si>
  <si>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</si>
  <si>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</si>
  <si>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</si>
  <si>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</si>
  <si>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</si>
  <si>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</si>
  <si>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</si>
  <si>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</si>
  <si>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</si>
  <si>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</si>
  <si>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</si>
  <si>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</si>
  <si>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</si>
  <si>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</si>
  <si>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</si>
  <si>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</si>
  <si>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</si>
  <si>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</si>
  <si>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</si>
  <si>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</si>
  <si>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</si>
  <si>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</si>
  <si>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</si>
  <si>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</si>
  <si>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</si>
  <si>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</si>
  <si>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</si>
  <si>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</si>
  <si>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</si>
  <si>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</si>
  <si>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</si>
  <si>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</si>
  <si>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</si>
  <si>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</si>
  <si>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</si>
  <si>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</si>
  <si>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</si>
  <si>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</si>
  <si>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</si>
  <si>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</si>
  <si>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</si>
  <si>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</si>
  <si>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</si>
  <si>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</si>
  <si>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</si>
  <si>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</si>
  <si>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</si>
  <si>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</si>
  <si>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</si>
  <si>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</si>
  <si>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</si>
  <si>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</si>
  <si>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</si>
  <si>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</si>
  <si>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</si>
  <si>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</si>
  <si>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</si>
  <si>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</si>
  <si>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</si>
  <si>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</si>
  <si>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</si>
  <si>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</si>
  <si>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</si>
  <si>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</si>
  <si>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</si>
  <si>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</si>
  <si>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</si>
  <si>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</si>
  <si>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</si>
  <si>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</si>
  <si>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</si>
  <si>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</si>
  <si>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</si>
  <si>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</si>
  <si>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</si>
  <si>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</si>
  <si>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</si>
  <si>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</si>
  <si>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</si>
  <si>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</si>
  <si>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</si>
  <si>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</si>
  <si>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</si>
  <si>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</si>
  <si>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</si>
  <si>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</si>
  <si>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</si>
  <si>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</si>
  <si>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</si>
  <si>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</si>
  <si>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</si>
  <si>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</si>
  <si>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</si>
  <si>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</si>
  <si>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</si>
  <si>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</si>
  <si>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</si>
  <si>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</si>
  <si>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</si>
  <si>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</si>
  <si>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</si>
  <si>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</si>
  <si>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</si>
  <si>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</si>
  <si>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</si>
  <si>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</si>
  <si>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</si>
  <si>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</si>
  <si>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</si>
  <si>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</si>
  <si>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</si>
  <si>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</si>
  <si>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</si>
  <si>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</si>
  <si>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</si>
  <si>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</si>
  <si>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</si>
  <si>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</si>
  <si>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</si>
  <si>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</si>
  <si>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</si>
  <si>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</si>
  <si>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</si>
  <si>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</si>
  <si>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</si>
  <si>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</si>
  <si>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</si>
  <si>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</si>
  <si>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</si>
  <si>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</si>
  <si>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</si>
  <si>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</si>
  <si>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</si>
  <si>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</si>
  <si>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</si>
  <si>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</si>
  <si>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</si>
  <si>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</si>
  <si>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</si>
  <si>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</si>
  <si>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</si>
  <si>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</si>
  <si>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</si>
  <si>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</si>
  <si>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</si>
  <si>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</si>
  <si>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</si>
  <si>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</si>
  <si>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</si>
  <si>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</si>
  <si>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</si>
  <si>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</si>
  <si>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</si>
  <si>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</si>
  <si>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</si>
  <si>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</si>
  <si>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</si>
  <si>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</si>
  <si>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</si>
  <si>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</si>
  <si>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</si>
  <si>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</si>
  <si>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</si>
  <si>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</si>
  <si>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</si>
  <si>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</si>
  <si>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</si>
  <si>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</si>
  <si>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</si>
  <si>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</si>
  <si>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</si>
  <si>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</si>
  <si>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</si>
  <si>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</si>
  <si>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</si>
  <si>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</si>
  <si>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</si>
  <si>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</si>
  <si>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</si>
  <si>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</si>
  <si>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</si>
  <si>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</si>
  <si>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</si>
  <si>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</si>
  <si>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</si>
  <si>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</si>
  <si>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</si>
  <si>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</si>
  <si>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</si>
  <si>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</si>
  <si>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</si>
  <si>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</si>
  <si>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</si>
  <si>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</si>
  <si>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</si>
  <si>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</si>
  <si>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</si>
  <si>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</si>
  <si>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</si>
  <si>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</si>
  <si>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</si>
  <si>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</si>
  <si>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</si>
  <si>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</si>
  <si>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</si>
  <si>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</si>
  <si>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</si>
  <si>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</si>
  <si>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</si>
  <si>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</si>
  <si>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</si>
  <si>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</si>
  <si>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</si>
  <si>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</si>
  <si>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</si>
  <si>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</si>
  <si>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</si>
  <si>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</si>
  <si>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</si>
  <si>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</si>
  <si>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</si>
  <si>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</si>
  <si>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</si>
  <si>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</si>
  <si>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</si>
  <si>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</si>
  <si>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</si>
  <si>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</si>
  <si>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</si>
  <si>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</si>
  <si>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</si>
  <si>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</si>
  <si>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</si>
  <si>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</si>
  <si>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</si>
  <si>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</si>
  <si>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</si>
  <si>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</si>
  <si>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</si>
  <si>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</si>
  <si>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</si>
  <si>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</si>
  <si>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</si>
  <si>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</si>
  <si>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</si>
  <si>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</si>
  <si>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</si>
  <si>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</si>
  <si>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</si>
  <si>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</si>
  <si>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</si>
  <si>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</si>
  <si>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</si>
  <si>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</si>
  <si>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</si>
  <si>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</si>
  <si>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</si>
  <si>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</si>
  <si>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</si>
  <si>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</si>
  <si>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</si>
  <si>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</si>
  <si>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</si>
  <si>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</si>
  <si>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</si>
  <si>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</si>
  <si>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</si>
  <si>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</si>
  <si>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</si>
  <si>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</si>
  <si>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</si>
  <si>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</si>
  <si>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</si>
  <si>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</si>
  <si>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</si>
  <si>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</si>
  <si>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</si>
  <si>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</si>
  <si>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</si>
  <si>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</si>
  <si>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</si>
  <si>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</si>
  <si>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</si>
  <si>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</si>
  <si>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</si>
  <si>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</si>
  <si>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</si>
  <si>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</si>
  <si>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</si>
  <si>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</si>
  <si>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</si>
  <si>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</si>
  <si>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</si>
  <si>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</si>
  <si>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</si>
  <si>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</si>
  <si>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</si>
  <si>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</si>
  <si>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</si>
  <si>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</si>
  <si>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</si>
  <si>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</si>
  <si>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</si>
  <si>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</si>
  <si>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</si>
  <si>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</si>
  <si>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</si>
  <si>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</si>
  <si>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</si>
  <si>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</si>
  <si>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</si>
  <si>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</si>
  <si>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</si>
  <si>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</si>
  <si>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</si>
  <si>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</si>
  <si>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</si>
  <si>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</si>
  <si>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</si>
  <si>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</si>
  <si>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</si>
  <si>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</si>
  <si>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</si>
  <si>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</si>
  <si>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</si>
  <si>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</si>
  <si>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</si>
  <si>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</si>
  <si>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</si>
  <si>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</si>
  <si>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</si>
  <si>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</si>
  <si>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</si>
  <si>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</si>
  <si>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</si>
  <si>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</si>
  <si>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</si>
  <si>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</si>
  <si>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</si>
  <si>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</si>
  <si>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</si>
  <si>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</si>
  <si>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</si>
  <si>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</si>
  <si>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</si>
  <si>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</si>
  <si>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</si>
  <si>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</si>
  <si>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</si>
  <si>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</si>
  <si>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</si>
  <si>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</si>
  <si>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</si>
  <si>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</si>
  <si>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</si>
  <si>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</si>
  <si>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</si>
  <si>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</si>
  <si>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</si>
  <si>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</si>
  <si>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</si>
  <si>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</si>
  <si>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</si>
  <si>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</si>
  <si>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</si>
  <si>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</si>
  <si>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</si>
  <si>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</si>
  <si>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</si>
  <si>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</si>
  <si>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</si>
  <si>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</si>
  <si>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</si>
  <si>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</si>
  <si>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</si>
  <si>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</si>
  <si>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</si>
  <si>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</si>
  <si>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</si>
  <si>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</si>
  <si>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</si>
  <si>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</si>
  <si>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</si>
  <si>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</si>
  <si>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</si>
  <si>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</si>
  <si>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</si>
  <si>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</si>
  <si>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</si>
  <si>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</si>
  <si>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</si>
  <si>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</si>
  <si>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</si>
  <si>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</si>
  <si>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</si>
  <si>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</si>
  <si>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</si>
  <si>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</si>
  <si>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</si>
  <si>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</si>
  <si>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</si>
  <si>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</si>
  <si>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</si>
  <si>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</si>
  <si>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</si>
  <si>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</si>
  <si>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</si>
  <si>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</si>
  <si>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</si>
  <si>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</si>
  <si>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</si>
  <si>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</si>
  <si>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</si>
  <si>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</si>
  <si>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</si>
  <si>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</si>
  <si>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</si>
  <si>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</si>
  <si>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</si>
  <si>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</si>
  <si>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</si>
  <si>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</si>
  <si>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</si>
  <si>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</si>
  <si>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</si>
  <si>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</si>
  <si>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</si>
  <si>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</si>
  <si>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</si>
  <si>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</si>
  <si>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</si>
  <si>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</si>
  <si>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</si>
  <si>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</si>
  <si>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</si>
  <si>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</si>
  <si>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</si>
  <si>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</si>
  <si>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</si>
  <si>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</si>
  <si>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</si>
  <si>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</si>
  <si>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</si>
  <si>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</si>
  <si>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</si>
  <si>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</si>
  <si>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</si>
  <si>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</si>
  <si>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</si>
  <si>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</si>
  <si>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</si>
  <si>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</si>
  <si>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</si>
  <si>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</si>
  <si>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</si>
  <si>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</si>
  <si>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</si>
  <si>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</si>
  <si>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</si>
  <si>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</si>
  <si>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</si>
  <si>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</si>
  <si>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</si>
  <si>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</si>
  <si>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</si>
  <si>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</si>
  <si>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</si>
  <si>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</si>
  <si>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</si>
  <si>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</si>
  <si>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</si>
  <si>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</si>
  <si>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</si>
  <si>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</si>
  <si>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</si>
  <si>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</si>
  <si>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</si>
  <si>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</si>
  <si>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</si>
  <si>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</si>
  <si>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</si>
  <si>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</si>
  <si>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</si>
  <si>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</si>
  <si>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</si>
  <si>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</si>
  <si>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</si>
  <si>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</si>
  <si>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</si>
  <si>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</si>
  <si>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</si>
  <si>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</si>
  <si>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</si>
  <si>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</si>
  <si>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</si>
  <si>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</si>
  <si>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</si>
  <si>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</si>
  <si>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</si>
  <si>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</si>
  <si>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</si>
  <si>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</si>
  <si>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</si>
  <si>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</si>
  <si>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</si>
  <si>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</si>
  <si>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</si>
  <si>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</si>
  <si>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</si>
  <si>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</si>
  <si>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</si>
  <si>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</si>
  <si>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</si>
  <si>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</si>
  <si>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</si>
  <si>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</si>
  <si>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</si>
  <si>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</si>
  <si>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</si>
  <si>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</si>
  <si>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</si>
  <si>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</si>
  <si>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</si>
  <si>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</si>
  <si>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</si>
  <si>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</si>
  <si>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</si>
  <si>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</si>
  <si>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</si>
  <si>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</si>
  <si>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</si>
  <si>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</si>
  <si>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</si>
  <si>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</si>
  <si>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</si>
  <si>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</si>
  <si>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</si>
  <si>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</si>
  <si>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</si>
  <si>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</si>
  <si>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</si>
  <si>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</si>
  <si>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</si>
  <si>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</si>
  <si>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</si>
  <si>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</si>
  <si>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</si>
  <si>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</si>
  <si>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</si>
  <si>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</si>
  <si>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</si>
  <si>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Socaria mecanizada km 750 ao 755+800 via 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</si>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</sst>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M266" activePane="bottomRight" state="frozen"/>
      <selection pane="bottomRight" activeCell="Q278" sqref="Q2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1608</v>
      </c>
      <c r="W249" s="168" t="s">
        <v>1609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1610</v>
      </c>
      <c r="BK249" s="16" t="s">
        <v>1610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1612</v>
      </c>
      <c r="BK251" s="16" t="s">
        <v>1612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1613</v>
      </c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1614</v>
      </c>
      <c r="X259" s="213"/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>A8846039</v>
      </c>
      <c r="B271" s="166">
        <v>46039</v>
      </c>
      <c r="C271" s="8">
        <f>IF(BS_CONTROLE[[#This Row],[DATA]]="","",WEEKNUM(BS_CONTROLE[[#This Row],[DATA]]))</f>
        <v>3</v>
      </c>
      <c r="D271" s="51" t="s">
        <v>144</v>
      </c>
      <c r="E271" s="314">
        <v>370</v>
      </c>
      <c r="F271" s="167" t="s">
        <v>85</v>
      </c>
      <c r="G271" s="9" t="str">
        <f>IF(D271="","*",VLOOKUP(F271,BS_ATIVIDADE[#All],3,FALSE))</f>
        <v>OUTROS</v>
      </c>
      <c r="H271" s="168" t="s">
        <v>994</v>
      </c>
      <c r="I271" s="168" t="s">
        <v>1007</v>
      </c>
      <c r="J271" s="212">
        <v>78</v>
      </c>
      <c r="K271" s="212">
        <v>227.422</v>
      </c>
      <c r="L271" s="83">
        <v>251.05199999999999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71" s="168">
        <v>0.33333333333333331</v>
      </c>
      <c r="P271" s="168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BASE_MAPA!$E$2:$E$359, BASE_MAPA!$J$2:$J$359), "ERRO")</f>
        <v>ITIRAPINA - BAURU</v>
      </c>
      <c r="V271" s="193" t="s">
        <v>1608</v>
      </c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INSPEÇÃO AUTO DE LINHA</v>
      </c>
      <c r="AJ271" s="9" t="str">
        <f>IF(D271="","*",VLOOKUP(AI271,BS_ATIVIDADE[#Data],3,FALSE))</f>
        <v>OUTROS</v>
      </c>
      <c r="AK271" s="279" t="str">
        <f>IF(BS_CONTROLE[[#This Row],[Local - Partida]]=0, "-", BS_CONTROLE[[#This Row],[Local - Partida]])</f>
        <v>ZTR</v>
      </c>
      <c r="AL271" s="279" t="str">
        <f>IF(BS_CONTROLE[[#This Row],[Local - Encerramento]]=0, "-", BS_CONTROLE[[#This Row],[Local - Encerramento]])</f>
        <v>ZDK</v>
      </c>
      <c r="AM271" s="279" t="str">
        <f>IF(BS_CONTROLE[[#This Row],[Entre - Estações]]=0, "-", BS_CONTROLE[[#This Row],[Entre - Estações]])</f>
        <v>ZTR</v>
      </c>
      <c r="AN271" s="279" t="str">
        <f>IF(BS_CONTROLE[[#This Row],[SB]]=0, "-", BS_CONTROLE[[#This Row],[SB]])</f>
        <v>ZTR1</v>
      </c>
      <c r="AO271" s="280">
        <f>IF(BS_CONTROLE[[#This Row],[SUB]]=0, "-", BS_CONTROLE[[#This Row],[SUB]])</f>
        <v>78</v>
      </c>
      <c r="AP271" s="281">
        <f>IF(BS_CONTROLE[[#This Row],[KM - Inicio]]=0, "-", BS_CONTROLE[[#This Row],[KM - Inicio]])</f>
        <v>227.422</v>
      </c>
      <c r="AQ271" s="281">
        <f>IF(BS_CONTROLE[[#This Row],[KM - Fim]]=0, "-", BS_CONTROLE[[#This Row],[KM - Fim]])</f>
        <v>251.05199999999999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282" t="str">
        <f>IF(BS_CONTROLE[[#This Row],[Responsavel pelo boletim]]=0, "-", BS_CONTROLE[[#This Row],[Responsavel pelo boletim]])</f>
        <v>Josimar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Produção e Intervalo</v>
      </c>
      <c r="BR271" s="18">
        <f t="shared" si="51"/>
        <v>0</v>
      </c>
      <c r="BS271" s="18">
        <f t="shared" si="52"/>
        <v>0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V8646040</v>
      </c>
      <c r="B275" s="166">
        <v>46040</v>
      </c>
      <c r="C275" s="8">
        <f>IF(BS_CONTROLE[[#This Row],[DATA]]="","",WEEKNUM(BS_CONTROLE[[#This Row],[DATA]]))</f>
        <v>4</v>
      </c>
      <c r="D275" s="51" t="s">
        <v>215</v>
      </c>
      <c r="E275" s="314">
        <v>374</v>
      </c>
      <c r="F275" s="167" t="s">
        <v>117</v>
      </c>
      <c r="G275" s="9" t="str">
        <f>IF(D275="","*",VLOOKUP(F275,BS_ATIVIDADE[#All],3,FALSE))</f>
        <v>MECANIZAÇÃO - SOCADORA</v>
      </c>
      <c r="H275" s="168" t="s">
        <v>611</v>
      </c>
      <c r="I275" s="168" t="s">
        <v>611</v>
      </c>
      <c r="J275" s="212">
        <v>98</v>
      </c>
      <c r="K275" s="212">
        <v>750</v>
      </c>
      <c r="L275" s="83">
        <v>755.8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5" s="400">
        <v>0.4375</v>
      </c>
      <c r="P275" s="168">
        <v>0.25</v>
      </c>
      <c r="Q275" s="83">
        <v>3360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1228</v>
      </c>
      <c r="W275" s="168" t="s">
        <v>1615</v>
      </c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MECANIZAÇÃO - SOCADORA</v>
      </c>
      <c r="AJ275" s="9" t="str">
        <f>IF(D275="","*",VLOOKUP(AI275,BS_ATIVIDADE[#Data],3,FALSE))</f>
        <v>MECANIZAÇÃO - SOCADORA</v>
      </c>
      <c r="AK275" s="279" t="str">
        <f>IF(BS_CONTROLE[[#This Row],[Local - Partida]]=0, "-", BS_CONTROLE[[#This Row],[Local - Partida]])</f>
        <v>TSF1</v>
      </c>
      <c r="AL275" s="279" t="str">
        <f>IF(BS_CONTROLE[[#This Row],[Local - Encerramento]]=0, "-", BS_CONTROLE[[#This Row],[Local - Encerramento]])</f>
        <v>TSF1</v>
      </c>
      <c r="AM275" s="279" t="str">
        <f>IF(BS_CONTROLE[[#This Row],[Entre - Estações]]=0, "-", BS_CONTROLE[[#This Row],[Entre - Estações]])</f>
        <v>TSF-TRO</v>
      </c>
      <c r="AN275" s="279" t="str">
        <f>IF(BS_CONTROLE[[#This Row],[SB]]=0, "-", BS_CONTROLE[[#This Row],[SB]])</f>
        <v>744TEX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750</v>
      </c>
      <c r="AQ275" s="281">
        <f>IF(BS_CONTROLE[[#This Row],[KM - Fim]]=0, "-", BS_CONTROLE[[#This Row],[KM - Fim]])</f>
        <v>755.8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Antonioni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>E4646040</v>
      </c>
      <c r="B278" s="166">
        <v>46040</v>
      </c>
      <c r="C278" s="8">
        <f>IF(BS_CONTROLE[[#This Row],[DATA]]="","",WEEKNUM(BS_CONTROLE[[#This Row],[DATA]]))</f>
        <v>4</v>
      </c>
      <c r="D278" s="51" t="s">
        <v>159</v>
      </c>
      <c r="E278" s="315">
        <v>377</v>
      </c>
      <c r="F278" s="167" t="s">
        <v>79</v>
      </c>
      <c r="G278" s="9" t="str">
        <f>IF(D278="","*",VLOOKUP(F278,BS_ATIVIDADE[#All],3,FALSE))</f>
        <v>TRILHEIRO - DESCARGA</v>
      </c>
      <c r="H278" s="168" t="s">
        <v>587</v>
      </c>
      <c r="I278" s="168" t="s">
        <v>587</v>
      </c>
      <c r="J278" s="212">
        <v>98</v>
      </c>
      <c r="K278" s="212">
        <v>537.29999999999995</v>
      </c>
      <c r="L278" s="83">
        <v>535.9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8" s="168">
        <v>0.41666666666666669</v>
      </c>
      <c r="P278" s="168">
        <v>8.3333333333333329E-2</v>
      </c>
      <c r="Q278" s="83"/>
      <c r="R278" s="10" t="str">
        <f>IFERROR(_xlfn.XLOOKUP(F278, BS_ATIVIDADE[ATIVIDADE],BS_ATIVIDADE[UNIDADE] ), "*")</f>
        <v>M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8" s="80" t="str">
        <f>IFERROR(_xlfn.XLOOKUP(J278, BASE_MAPA!$E$2:$E$359, BASE_MAPA!$J$2:$J$359), "ERRO")</f>
        <v>ALTO ARAGUAIA - RONDONOPOLIS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TRILHEIRO - DESCARGA</v>
      </c>
      <c r="AJ278" s="9" t="str">
        <f>IF(D278="","*",VLOOKUP(AI278,BS_ATIVIDADE[#Data],3,FALSE))</f>
        <v>TRILHEIRO - DESCARGA</v>
      </c>
      <c r="AK278" s="279" t="str">
        <f>IF(BS_CONTROLE[[#This Row],[Local - Partida]]=0, "-", BS_CONTROLE[[#This Row],[Local - Partida]])</f>
        <v>TIQ</v>
      </c>
      <c r="AL278" s="279" t="str">
        <f>IF(BS_CONTROLE[[#This Row],[Local - Encerramento]]=0, "-", BS_CONTROLE[[#This Row],[Local - Encerramento]])</f>
        <v>TIQ</v>
      </c>
      <c r="AM278" s="279" t="str">
        <f>IF(BS_CONTROLE[[#This Row],[Entre - Estações]]=0, "-", BS_CONTROLE[[#This Row],[Entre - Estações]])</f>
        <v>TBE-TRM</v>
      </c>
      <c r="AN278" s="279" t="str">
        <f>IF(BS_CONTROLE[[#This Row],[SB]]=0, "-", BS_CONTROLE[[#This Row],[SB]])</f>
        <v>TBE539</v>
      </c>
      <c r="AO278" s="280">
        <f>IF(BS_CONTROLE[[#This Row],[SUB]]=0, "-", BS_CONTROLE[[#This Row],[SUB]])</f>
        <v>98</v>
      </c>
      <c r="AP278" s="281">
        <f>IF(BS_CONTROLE[[#This Row],[KM - Inicio]]=0, "-", BS_CONTROLE[[#This Row],[KM - Inicio]])</f>
        <v>537.29999999999995</v>
      </c>
      <c r="AQ278" s="281">
        <f>IF(BS_CONTROLE[[#This Row],[KM - Fim]]=0, "-", BS_CONTROLE[[#This Row],[KM - Fim]])</f>
        <v>535.9</v>
      </c>
      <c r="AR278" s="38"/>
      <c r="AS278" s="38"/>
      <c r="AT278" s="38"/>
      <c r="AU278" s="38"/>
      <c r="AV278" s="38"/>
      <c r="AW278" s="38"/>
      <c r="AX278" s="38"/>
      <c r="AY278" s="313">
        <f>IF(D278="","*",IFERROR(IF(ISODD(COUNT(AS278:AX278)),"ERRO",SUM((AT278-AS278),(AV278-AU278),(AX278-AW278))),"ERRO"))</f>
        <v>0</v>
      </c>
      <c r="AZ278" s="13"/>
      <c r="BA278" s="71"/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8" s="11" t="str">
        <f>IFERROR(_xlfn.XLOOKUP(AO278, BASE_MAPA!$E$2:$E$359, BASE_MAPA!$J$2:$J$359), "ERRO")</f>
        <v>ALTO ARAGUAIA - RONDONOPOLIS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e">
        <f t="shared" si="50"/>
        <v>#DIV/0!</v>
      </c>
      <c r="BR278" s="18">
        <f t="shared" si="51"/>
        <v>0</v>
      </c>
      <c r="BS278" s="18" t="e">
        <f t="shared" si="52"/>
        <v>#DIV/0!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49 BK251 BK232: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1617</v>
      </c>
      <c r="E3" s="316" t="s">
        <v>1618</v>
      </c>
      <c r="F3" s="316" t="s">
        <v>1619</v>
      </c>
      <c r="G3" s="316" t="s">
        <v>1620</v>
      </c>
      <c r="H3" s="316" t="s">
        <v>1621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1622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1623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1624</v>
      </c>
      <c r="W1" s="389"/>
      <c r="X1" s="389"/>
      <c r="Y1" s="103"/>
    </row>
    <row r="2" spans="1:25" s="100" customFormat="1" ht="11.25" customHeight="1">
      <c r="A2" s="104" t="s">
        <v>1625</v>
      </c>
      <c r="B2" s="104" t="s">
        <v>1626</v>
      </c>
      <c r="C2" s="104" t="s">
        <v>7</v>
      </c>
      <c r="D2" s="105" t="s">
        <v>1177</v>
      </c>
      <c r="E2" s="105" t="s">
        <v>1178</v>
      </c>
      <c r="F2" s="105" t="s">
        <v>1627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*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*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MALHA CENTRAL</v>
      </c>
      <c r="E369" s="109" t="str">
        <f>IF(FN_MC!T271="","*",FN_MC!T271)</f>
        <v>RAMAL</v>
      </c>
      <c r="F369" s="109">
        <f>IF(FN_MC!B271="","*",FN_MC!B271)</f>
        <v>46039</v>
      </c>
      <c r="G369" s="109" t="str">
        <f>IF(FN_MC!D271="","*",FN_MC!D271)</f>
        <v>A88</v>
      </c>
      <c r="H369" s="109" t="str">
        <f>IF(FN_MC!F271="","*",FN_MC!F271)</f>
        <v>INSPEÇÃO AUTO DE LINHA</v>
      </c>
      <c r="I369" s="109" t="str">
        <f>IF(FN_MC!H271="","*",FN_MC!H271)</f>
        <v>ZTR</v>
      </c>
      <c r="J369" s="109" t="str">
        <f>IF(FN_MC!I271="","*",FN_MC!I271)</f>
        <v>ZDK</v>
      </c>
      <c r="K369" s="109" t="str">
        <f>IF(FN_MC!M271="","*",FN_MC!M271)</f>
        <v>ZTR</v>
      </c>
      <c r="L369" s="328" t="str">
        <f>IF(FN_MC!N271="","*",FN_MC!N271)</f>
        <v>ZTR1</v>
      </c>
      <c r="M369" s="110">
        <f>IF(FN_MC!J271="","*",FN_MC!J271)</f>
        <v>78</v>
      </c>
      <c r="N369" s="291">
        <f>IF(FN_MC!K271="","*",FN_MC!K271)</f>
        <v>227.422</v>
      </c>
      <c r="O369" s="291">
        <f>IF(FN_MC!L271="","*",FN_MC!L271)</f>
        <v>251.05199999999999</v>
      </c>
      <c r="P369" s="110"/>
      <c r="Q369" s="127">
        <f>IF(FN_MC!O271="","*",FN_MC!O271)</f>
        <v>0.33333333333333331</v>
      </c>
      <c r="R369" s="127">
        <f>IF(FN_MC!P271="","*",FN_MC!P271)</f>
        <v>4.1666666666666664E-2</v>
      </c>
      <c r="S369" s="109" t="str">
        <f>IF(FN_MC!Q271="","*",CONCATENATE(FN_MC!Q271," ",FN_MC!R271))</f>
        <v>1 BINÁRIO</v>
      </c>
      <c r="T369" s="109" t="str">
        <f>IF(FN_MC!V271="","*",FN_MC!V271)</f>
        <v>Josimar</v>
      </c>
      <c r="U369" s="109" t="str">
        <f>IF(FN_MC!W271="","*",FN_MC!W271)</f>
        <v>*</v>
      </c>
      <c r="V369" s="111">
        <f ca="1">_xlfn.XLOOKUP(G369&amp;$V$2,BS_CONTROLE[CHAVE],BS_CONTROLE[Quantidade_11],"-")</f>
        <v>0</v>
      </c>
      <c r="W369" s="111">
        <f ca="1">_xlfn.XLOOKUP(G369&amp;$W$2,BS_CONTROLE[CHAVE],BS_CONTROLE[Quantidade_11],"-")</f>
        <v>11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V86</v>
      </c>
      <c r="H373" s="109" t="str">
        <f>IF(FN_MC!F275="","*",FN_MC!F275)</f>
        <v>MECANIZAÇÃO - SOCADORA</v>
      </c>
      <c r="I373" s="109" t="str">
        <f>IF(FN_MC!H275="","*",FN_MC!H275)</f>
        <v>TSF1</v>
      </c>
      <c r="J373" s="109" t="str">
        <f>IF(FN_MC!I275="","*",FN_MC!I275)</f>
        <v>TSF1</v>
      </c>
      <c r="K373" s="109" t="str">
        <f>IF(FN_MC!M275="","*",FN_MC!M275)</f>
        <v>TSF-TRO</v>
      </c>
      <c r="L373" s="328" t="str">
        <f>IF(FN_MC!N275="","*",FN_MC!N275)</f>
        <v>744TEX</v>
      </c>
      <c r="M373" s="110">
        <f>IF(FN_MC!J275="","*",FN_MC!J275)</f>
        <v>98</v>
      </c>
      <c r="N373" s="291">
        <f>IF(FN_MC!K275="","*",FN_MC!K275)</f>
        <v>750</v>
      </c>
      <c r="O373" s="291">
        <f>IF(FN_MC!L275="","*",FN_MC!L275)</f>
        <v>755.8</v>
      </c>
      <c r="P373" s="110"/>
      <c r="Q373" s="127">
        <f>IF(FN_MC!O275="","*",FN_MC!O275)</f>
        <v>0.4375</v>
      </c>
      <c r="R373" s="127">
        <f>IF(FN_MC!P275="","*",FN_MC!P275)</f>
        <v>0.25</v>
      </c>
      <c r="S373" s="109" t="str">
        <f>IF(FN_MC!Q275="","*",CONCATENATE(FN_MC!Q275," ",FN_MC!R275))</f>
        <v>3360 M</v>
      </c>
      <c r="T373" s="109" t="str">
        <f>IF(FN_MC!V275="","*",FN_MC!V275)</f>
        <v>Antonioni</v>
      </c>
      <c r="U373" s="109" t="str">
        <f>IF(FN_MC!W275="","*",FN_MC!W275)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FERRONORTE</v>
      </c>
      <c r="E376" s="109" t="str">
        <f>IF(FN_MC!T278="","*",FN_MC!T278)</f>
        <v>TGR-TRO</v>
      </c>
      <c r="F376" s="109">
        <f>IF(FN_MC!B278="","*",FN_MC!B278)</f>
        <v>46040</v>
      </c>
      <c r="G376" s="109" t="str">
        <f>IF(FN_MC!D278="","*",FN_MC!D278)</f>
        <v>E46</v>
      </c>
      <c r="H376" s="109" t="str">
        <f>IF(FN_MC!F278="","*",FN_MC!F278)</f>
        <v>TRILHEIRO - DESCARGA</v>
      </c>
      <c r="I376" s="109" t="str">
        <f>IF(FN_MC!H278="","*",FN_MC!H278)</f>
        <v>TIQ</v>
      </c>
      <c r="J376" s="109" t="str">
        <f>IF(FN_MC!I278="","*",FN_MC!I278)</f>
        <v>TIQ</v>
      </c>
      <c r="K376" s="109" t="str">
        <f>IF(FN_MC!M278="","*",FN_MC!M278)</f>
        <v>TBE-TRM</v>
      </c>
      <c r="L376" s="328" t="str">
        <f>IF(FN_MC!N278="","*",FN_MC!N278)</f>
        <v>TBE539</v>
      </c>
      <c r="M376" s="110">
        <f>IF(FN_MC!J278="","*",FN_MC!J278)</f>
        <v>98</v>
      </c>
      <c r="N376" s="291">
        <f>IF(FN_MC!K278="","*",FN_MC!K278)</f>
        <v>537.29999999999995</v>
      </c>
      <c r="O376" s="291">
        <f>IF(FN_MC!L278="","*",FN_MC!L278)</f>
        <v>535.9</v>
      </c>
      <c r="P376" s="110"/>
      <c r="Q376" s="127">
        <f>IF(FN_MC!O278="","*",FN_MC!O278)</f>
        <v>0.41666666666666669</v>
      </c>
      <c r="R376" s="127">
        <f>IF(FN_MC!P278="","*",FN_MC!P278)</f>
        <v>8.3333333333333329E-2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1630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1631</v>
      </c>
      <c r="C4" s="321" t="s">
        <v>1632</v>
      </c>
      <c r="D4" s="321" t="s">
        <v>1633</v>
      </c>
      <c r="E4" s="321" t="s">
        <v>1634</v>
      </c>
      <c r="F4" s="321" t="s">
        <v>545</v>
      </c>
      <c r="G4" s="321" t="s">
        <v>1635</v>
      </c>
      <c r="H4" s="187"/>
    </row>
    <row r="5" spans="1:8" ht="43.5">
      <c r="A5" s="187"/>
      <c r="B5" s="322" t="s">
        <v>1636</v>
      </c>
      <c r="C5" s="322">
        <v>309525</v>
      </c>
      <c r="D5" s="322" t="s">
        <v>1637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1638</v>
      </c>
      <c r="C6" s="322">
        <v>256875</v>
      </c>
      <c r="D6" s="322" t="s">
        <v>1639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1640</v>
      </c>
      <c r="C7" s="322">
        <v>257278</v>
      </c>
      <c r="D7" s="322" t="s">
        <v>1641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1642</v>
      </c>
      <c r="C8" s="322">
        <v>261794</v>
      </c>
      <c r="D8" s="322" t="s">
        <v>1643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1644</v>
      </c>
      <c r="C9" s="322">
        <v>257033</v>
      </c>
      <c r="D9" s="322" t="s">
        <v>1645</v>
      </c>
      <c r="E9" s="322" t="s">
        <v>240</v>
      </c>
      <c r="F9" s="322" t="s">
        <v>732</v>
      </c>
      <c r="G9" s="322" t="s">
        <v>1646</v>
      </c>
      <c r="H9" s="187"/>
    </row>
    <row r="10" spans="1:8" ht="43.5">
      <c r="A10" s="187"/>
      <c r="B10" s="322" t="s">
        <v>1647</v>
      </c>
      <c r="C10" s="322">
        <v>396578</v>
      </c>
      <c r="D10" s="322" t="s">
        <v>1648</v>
      </c>
      <c r="E10" s="322" t="s">
        <v>240</v>
      </c>
      <c r="F10" s="322" t="s">
        <v>732</v>
      </c>
      <c r="G10" s="322" t="s">
        <v>1646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1649</v>
      </c>
      <c r="C2" s="95" t="s">
        <v>1162</v>
      </c>
      <c r="D2" s="95" t="s">
        <v>1164</v>
      </c>
      <c r="E2" s="95" t="s">
        <v>1650</v>
      </c>
      <c r="F2" s="95" t="s">
        <v>1651</v>
      </c>
      <c r="G2" s="95" t="s">
        <v>1652</v>
      </c>
      <c r="H2" s="95" t="s">
        <v>1653</v>
      </c>
      <c r="I2" s="95" t="s">
        <v>1654</v>
      </c>
      <c r="J2" s="95" t="s">
        <v>1655</v>
      </c>
      <c r="K2" s="130" t="s">
        <v>1656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>
        <f>IF(FN_MC!B271="","*",FN_MC!B271)</f>
        <v>46039</v>
      </c>
      <c r="D374" s="120" t="str">
        <f>IF(FN_MC!D271="","*",FN_MC!D271)</f>
        <v>A88</v>
      </c>
      <c r="E374" s="120" t="str">
        <f>IF(FN_MC!H271="","*",FN_MC!H271)</f>
        <v>ZTR</v>
      </c>
      <c r="F374" s="136" t="str">
        <f>IF(FN_MC!M271="","*",FN_MC!M271)</f>
        <v>ZTR</v>
      </c>
      <c r="G374" s="120" t="str">
        <f>IF(FN_MC!I271="","*",FN_MC!I271)</f>
        <v>ZDK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>
        <f>IF(FN_MC!B275="","*",FN_MC!B275)</f>
        <v>46040</v>
      </c>
      <c r="D378" s="120" t="str">
        <f>IF(FN_MC!D275="","*",FN_MC!D275)</f>
        <v>V86</v>
      </c>
      <c r="E378" s="120" t="str">
        <f>IF(FN_MC!H275="","*",FN_MC!H275)</f>
        <v>TSF1</v>
      </c>
      <c r="F378" s="136" t="str">
        <f>IF(FN_MC!M275="","*",FN_MC!M275)</f>
        <v>TSF-TRO</v>
      </c>
      <c r="G378" s="120" t="str">
        <f>IF(FN_MC!I275="","*",FN_MC!I275)</f>
        <v>TSF1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>
        <f>IF(FN_MC!B278="","*",FN_MC!B278)</f>
        <v>46040</v>
      </c>
      <c r="D381" s="120" t="str">
        <f>IF(FN_MC!D278="","*",FN_MC!D278)</f>
        <v>E46</v>
      </c>
      <c r="E381" s="120" t="str">
        <f>IF(FN_MC!H278="","*",FN_MC!H278)</f>
        <v>TIQ</v>
      </c>
      <c r="F381" s="136" t="str">
        <f>IF(FN_MC!M278="","*",FN_MC!M278)</f>
        <v>TBE-TRM</v>
      </c>
      <c r="G381" s="120" t="str">
        <f>IF(FN_MC!I278="","*",FN_MC!I278)</f>
        <v>TIQ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1657</v>
      </c>
      <c r="D5" s="393"/>
      <c r="E5" s="393"/>
      <c r="F5" s="393"/>
      <c r="G5" s="393"/>
      <c r="H5" s="393"/>
      <c r="I5" s="393"/>
      <c r="J5" s="394"/>
      <c r="K5" s="395" t="s">
        <v>1658</v>
      </c>
      <c r="L5" s="396"/>
      <c r="M5" s="396"/>
      <c r="N5" s="396"/>
      <c r="O5" s="397" t="s">
        <v>1659</v>
      </c>
      <c r="P5" s="398"/>
      <c r="Q5" s="399"/>
    </row>
    <row r="6" spans="1:17" s="93" customFormat="1" ht="15.75" customHeight="1">
      <c r="A6" s="87" t="s">
        <v>1627</v>
      </c>
      <c r="B6" s="94" t="s">
        <v>1626</v>
      </c>
      <c r="C6" s="95" t="s">
        <v>1177</v>
      </c>
      <c r="D6" s="96" t="s">
        <v>1178</v>
      </c>
      <c r="E6" s="95" t="s">
        <v>1660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1661</v>
      </c>
      <c r="M6" s="138" t="s">
        <v>30</v>
      </c>
      <c r="N6" s="139" t="s">
        <v>1172</v>
      </c>
      <c r="O6" s="241" t="s">
        <v>1215</v>
      </c>
      <c r="P6" s="152"/>
      <c r="Q6" s="188" t="s">
        <v>1662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*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*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*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*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>
        <f>IF(FN_MC!B271="","*",FN_MC!B271)</f>
        <v>46039</v>
      </c>
      <c r="B370" s="98" t="str">
        <f>IF(FN_MC!X271="","*",FN_MC!X271)</f>
        <v>*</v>
      </c>
      <c r="C370" s="99" t="str">
        <f>IF(FN_MC!S271="","*",FN_MC!S271)</f>
        <v>MALHA CENTRAL</v>
      </c>
      <c r="D370" s="99" t="str">
        <f>IF(FN_MC!T271="","*",FN_MC!T271)</f>
        <v>RAMAL</v>
      </c>
      <c r="E370" s="99" t="str">
        <f>IF(FN_MC!D271="","*",FN_MC!D271)</f>
        <v>A88</v>
      </c>
      <c r="F370" s="99" t="str">
        <f>IF(FN_MC!H271="","*",FN_MC!H271)</f>
        <v>ZTR</v>
      </c>
      <c r="G370" s="99" t="str">
        <f>IF(FN_MC!M271="","*",FN_MC!M271)</f>
        <v>ZTR</v>
      </c>
      <c r="H370" s="149">
        <f>IF(FN_MC!K271="","*",FN_MC!K271)</f>
        <v>227.422</v>
      </c>
      <c r="I370" s="131">
        <f>IF(FN_MC!O271="","*",FN_MC!O271)</f>
        <v>0.33333333333333331</v>
      </c>
      <c r="J370" s="131">
        <f>IF(FN_MC!P271="","*",FN_MC!P271)</f>
        <v>4.1666666666666664E-2</v>
      </c>
      <c r="K370" s="140" t="str">
        <f>IF(FN_MC!AK271="","*",FN_MC!AK271)</f>
        <v>ZTR</v>
      </c>
      <c r="L370" s="140" t="str">
        <f>IF(FN_MC!AM271="","*",FN_MC!AM271)</f>
        <v>ZTR</v>
      </c>
      <c r="M370" s="140">
        <f>IF(FN_MC!AP271="","*",FN_MC!AP271)</f>
        <v>227.422</v>
      </c>
      <c r="N370" s="140" t="str">
        <f>IF(FN_MC!AM271="","*",FN_MC!AM271)</f>
        <v>ZTR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1662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2026-01-16T17:18:19Z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