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88" documentId="120_S{118792C3-22EF-5104-A093-F22BFE3913F3}" xr6:coauthVersionLast="47" xr6:coauthVersionMax="47" xr10:uidLastSave="{1748A82C-32CE-4799-BF0E-5D08F28FBB0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CONTROLE - MAQUINISTAS" sheetId="12" r:id="rId7"/>
    <sheet name="Diesel" sheetId="14" r:id="rId8"/>
    <sheet name="CONTROLE D" sheetId="10" r:id="rId9"/>
    <sheet name="CONTROLE D+1" sheetId="15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6" hidden="1">'CONTROLE - MAQUINISTAS'!$B$2:$K$1050</definedName>
    <definedName name="_xlnm._FilterDatabase" localSheetId="9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0" i="1" l="1" a="1"/>
  <c r="U430" i="1" s="1"/>
  <c r="T430" i="1" a="1"/>
  <c r="T430" i="1" s="1"/>
  <c r="S430" i="1" a="1"/>
  <c r="S430" i="1" s="1"/>
  <c r="R430" i="1"/>
  <c r="N430" i="1" a="1"/>
  <c r="N430" i="1" s="1"/>
  <c r="M430" i="1" a="1"/>
  <c r="M430" i="1" s="1"/>
  <c r="G430" i="1"/>
  <c r="U428" i="1" a="1"/>
  <c r="U428" i="1" s="1"/>
  <c r="T428" i="1" a="1"/>
  <c r="T428" i="1" s="1"/>
  <c r="S428" i="1" a="1"/>
  <c r="S428" i="1" s="1"/>
  <c r="R428" i="1"/>
  <c r="N428" i="1" a="1"/>
  <c r="N428" i="1" s="1"/>
  <c r="M428" i="1" a="1"/>
  <c r="M428" i="1" s="1"/>
  <c r="G428" i="1"/>
  <c r="U427" i="1" a="1"/>
  <c r="U427" i="1" s="1"/>
  <c r="T427" i="1" a="1"/>
  <c r="T427" i="1" s="1"/>
  <c r="S427" i="1" a="1"/>
  <c r="S427" i="1" s="1"/>
  <c r="R427" i="1"/>
  <c r="N427" i="1" a="1"/>
  <c r="N427" i="1" s="1"/>
  <c r="M427" i="1" a="1"/>
  <c r="M427" i="1" s="1"/>
  <c r="U423" i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 s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 s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AQ769" i="1"/>
  <c r="BB769" i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AQ19" i="1"/>
  <c r="BB19" i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R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R412" i="15" s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R413" i="15" s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K423" i="15"/>
  <c r="L423" i="15"/>
  <c r="R426" i="1"/>
  <c r="R423" i="15" s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K424" i="15"/>
  <c r="L424" i="15"/>
  <c r="D424" i="15"/>
  <c r="E424" i="15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K425" i="15"/>
  <c r="L425" i="15"/>
  <c r="D425" i="15"/>
  <c r="E425" i="15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K427" i="15"/>
  <c r="L427" i="15"/>
  <c r="D427" i="15"/>
  <c r="E427" i="15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9" i="1" l="1" a="1"/>
  <c r="BC19" i="1" s="1"/>
  <c r="BD19" i="1" a="1"/>
  <c r="BD19" i="1" s="1"/>
  <c r="BC769" i="1" a="1"/>
  <c r="BC769" i="1" s="1"/>
  <c r="BD769" i="1" a="1"/>
  <c r="BD769" i="1" s="1"/>
  <c r="BC9" i="1" a="1"/>
  <c r="BC9" i="1" s="1"/>
  <c r="BC20" i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<sst xmlns="http://schemas.openxmlformats.org/spreadsheetml/2006/main" count="8432" uniqueCount="1624">
  <si>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</si>
  <si>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</si>
  <si>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</si>
  <si>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</si>
  <si>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</si>
  <si>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</si>
  <si>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</si>
  <si>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</si>
  <si>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</si>
  <si>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</si>
  <si>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</si>
  <si>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</si>
  <si>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</si>
  <si>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</si>
  <si>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</si>
  <si>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</si>
  <si>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</si>
  <si>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</si>
  <si>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</si>
  <si>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</si>
  <si>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</si>
  <si>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</si>
  <si>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</si>
  <si>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</si>
  <si>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</si>
  <si>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</si>
  <si>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</si>
  <si>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</si>
  <si>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</si>
  <si>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</si>
  <si>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</si>
  <si>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</si>
  <si>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</si>
  <si>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</si>
  <si>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</si>
  <si>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</si>
  <si>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</si>
  <si>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</si>
  <si>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</si>
  <si>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</si>
  <si>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</si>
  <si>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</si>
  <si>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</si>
  <si>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</si>
  <si>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</si>
  <si>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</si>
  <si>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</si>
  <si>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</si>
  <si>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</si>
  <si>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</si>
  <si>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</si>
  <si>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</si>
  <si>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</si>
  <si>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</si>
  <si>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</si>
  <si>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</si>
  <si>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</si>
  <si>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</si>
  <si>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</si>
  <si>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</si>
  <si>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</si>
  <si>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</si>
  <si>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</si>
  <si>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</si>
  <si>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</si>
  <si>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</si>
  <si>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</si>
  <si>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</si>
  <si>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</si>
  <si>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</si>
  <si>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</si>
  <si>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</si>
  <si>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</si>
  <si>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</si>
  <si>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</si>
  <si>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</si>
  <si>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</si>
  <si>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</si>
  <si>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</si>
  <si>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</si>
  <si>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</si>
  <si>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</si>
  <si>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</si>
  <si>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</si>
  <si>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</si>
  <si>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</si>
  <si>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</si>
  <si>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</si>
  <si>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</si>
  <si>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</si>
  <si>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</si>
  <si>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</si>
  <si>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</si>
  <si>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</si>
  <si>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</si>
  <si>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</si>
  <si>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</si>
  <si>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</si>
  <si>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</si>
  <si>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</si>
  <si>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</si>
  <si>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</si>
  <si>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</si>
  <si>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</si>
  <si>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</si>
  <si>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</si>
  <si>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</si>
  <si>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</si>
  <si>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</si>
  <si>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</si>
  <si>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</si>
  <si>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</si>
  <si>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</si>
  <si>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</si>
  <si>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</si>
  <si>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</si>
  <si>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</si>
  <si>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</si>
  <si>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</si>
  <si>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</si>
  <si>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</si>
  <si>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</si>
  <si>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</si>
  <si>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</si>
  <si>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</si>
  <si>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</si>
  <si>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</si>
  <si>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</si>
  <si>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</si>
  <si>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</si>
  <si>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</si>
  <si>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</si>
  <si>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</si>
  <si>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</si>
  <si>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</si>
  <si>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</si>
  <si>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</si>
  <si>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</si>
  <si>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</si>
  <si>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</si>
  <si>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</si>
  <si>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</si>
  <si>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</si>
  <si>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</si>
  <si>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</si>
  <si>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</si>
  <si>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</si>
  <si>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</si>
  <si>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</si>
  <si>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</si>
  <si>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</si>
  <si>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</si>
  <si>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</si>
  <si>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</si>
  <si>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</si>
  <si>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</si>
  <si>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</si>
  <si>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</si>
  <si>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</si>
  <si>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</si>
  <si>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</si>
  <si>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</si>
  <si>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</si>
  <si>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</si>
  <si>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</si>
  <si>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</si>
  <si>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</si>
  <si>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</si>
  <si>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</si>
  <si>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</si>
  <si>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</si>
  <si>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</si>
  <si>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</si>
  <si>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</si>
  <si>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</si>
  <si>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</si>
  <si>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</si>
  <si>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</si>
  <si>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</si>
  <si>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</si>
  <si>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</si>
  <si>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</si>
  <si>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</si>
  <si>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</si>
  <si>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</si>
  <si>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</si>
  <si>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</si>
  <si>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</si>
  <si>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</si>
  <si>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</si>
  <si>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</si>
  <si>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</si>
  <si>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</si>
  <si>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</si>
  <si>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</si>
  <si>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</si>
  <si>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</si>
  <si>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</si>
  <si>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</si>
  <si>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</si>
  <si>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</si>
  <si>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</si>
  <si>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</si>
  <si>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</si>
  <si>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</si>
  <si>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</si>
  <si>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</si>
  <si>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</si>
  <si>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</si>
  <si>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</si>
  <si>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</si>
  <si>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</si>
  <si>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</si>
  <si>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</si>
  <si>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</si>
  <si>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</si>
  <si>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</si>
  <si>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</si>
  <si>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</si>
  <si>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</si>
  <si>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</si>
  <si>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</si>
  <si>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</si>
  <si>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</si>
  <si>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</si>
  <si>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</si>
  <si>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</si>
  <si>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</si>
  <si>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</si>
  <si>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</si>
  <si>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</si>
  <si>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</si>
  <si>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</si>
  <si>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</si>
  <si>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</si>
  <si>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</si>
  <si>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</si>
  <si>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</si>
  <si>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</si>
  <si>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</si>
  <si>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</si>
  <si>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</si>
  <si>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</si>
  <si>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</si>
  <si>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</si>
  <si>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</si>
  <si>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</si>
  <si>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</si>
  <si>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</si>
  <si>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</si>
  <si>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</si>
  <si>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</si>
  <si>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</si>
  <si>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</si>
  <si>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</si>
  <si>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</si>
  <si>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</si>
  <si>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</si>
  <si>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</si>
  <si>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</si>
  <si>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</si>
  <si>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</si>
  <si>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</si>
  <si>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</si>
  <si>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</si>
  <si>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</si>
  <si>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</si>
  <si>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</si>
  <si>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</si>
  <si>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</si>
  <si>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</si>
  <si>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</si>
  <si>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</si>
  <si>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</si>
  <si>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</si>
  <si>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</si>
  <si>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</si>
  <si>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</si>
  <si>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</si>
  <si>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</si>
  <si>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</si>
  <si>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</si>
  <si>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</si>
  <si>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</si>
  <si>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</si>
  <si>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</si>
  <si>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</si>
  <si>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</si>
  <si>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</si>
  <si>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</si>
  <si>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</si>
  <si>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</si>
  <si>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</si>
  <si>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</si>
  <si>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</si>
  <si>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</si>
  <si>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</si>
  <si>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</si>
  <si>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</si>
  <si>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</si>
  <si>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</si>
  <si>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</si>
  <si>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</si>
  <si>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</si>
  <si>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</si>
  <si>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</si>
  <si>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</si>
  <si>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</si>
  <si>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</si>
  <si>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</si>
  <si>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</si>
  <si>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</si>
  <si>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</si>
  <si>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</si>
  <si>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</si>
  <si>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</si>
  <si>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</si>
  <si>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</si>
  <si>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</si>
  <si>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</si>
  <si>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</si>
  <si>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</si>
  <si>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</si>
  <si>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</si>
  <si>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</si>
  <si>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</si>
  <si>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</si>
  <si>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</si>
  <si>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</si>
  <si>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</si>
  <si>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</si>
  <si>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</si>
  <si>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</si>
  <si>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</si>
  <si>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</si>
  <si>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</si>
  <si>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</si>
  <si>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</si>
  <si>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</si>
  <si>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</si>
  <si>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</si>
  <si>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</si>
  <si>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</si>
  <si>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</si>
  <si>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</si>
  <si>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</si>
  <si>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</si>
  <si>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</si>
  <si>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</si>
  <si>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</si>
  <si>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</si>
  <si>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</si>
  <si>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</si>
  <si>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</si>
  <si>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</si>
  <si>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</si>
  <si>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</si>
  <si>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</si>
  <si>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</si>
  <si>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</si>
  <si>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</si>
  <si>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</si>
  <si>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</si>
  <si>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</si>
  <si>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</si>
  <si>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</si>
  <si>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</si>
  <si>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</si>
  <si>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</si>
  <si>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</si>
  <si>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</si>
  <si>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</si>
  <si>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</si>
  <si>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</si>
  <si>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</si>
  <si>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</si>
  <si>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</si>
  <si>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</si>
  <si>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</si>
  <si>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</si>
  <si>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</si>
  <si>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</si>
  <si>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</si>
  <si>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</si>
  <si>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</si>
  <si>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</si>
  <si>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</si>
  <si>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</si>
  <si>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</si>
  <si>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</si>
  <si>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</si>
  <si>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</si>
  <si>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</si>
  <si>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</si>
  <si>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</si>
  <si>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</si>
  <si>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</si>
  <si>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</si>
  <si>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</si>
  <si>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</si>
  <si>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</si>
  <si>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</si>
  <si>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</si>
  <si>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</si>
  <si>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</si>
  <si>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</si>
  <si>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</si>
  <si>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</si>
  <si>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</si>
  <si>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</si>
  <si>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</si>
  <si>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</si>
  <si>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</si>
  <si>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</si>
  <si>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</si>
  <si>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</si>
  <si>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</si>
  <si>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</si>
  <si>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</si>
  <si>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</si>
  <si>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</si>
  <si>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</si>
  <si>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</si>
  <si>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</si>
  <si>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</si>
  <si>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</si>
  <si>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</si>
  <si>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</si>
  <si>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</si>
  <si>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</si>
  <si>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</si>
  <si>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</si>
  <si>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</si>
  <si>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</si>
  <si>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</si>
  <si>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</si>
  <si>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</si>
  <si>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</si>
  <si>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</si>
  <si>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</si>
  <si>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</si>
  <si>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</si>
  <si>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</si>
  <si>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</si>
  <si>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</si>
  <si>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</si>
  <si>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</si>
  <si>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</si>
  <si>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</si>
  <si>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</si>
  <si>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</si>
  <si>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</si>
  <si>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</si>
  <si>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</si>
  <si>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</si>
  <si>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</si>
  <si>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</si>
  <si>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</si>
  <si>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</si>
  <si>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</si>
  <si>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</si>
  <si>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</si>
  <si>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</si>
  <si>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</si>
  <si>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</si>
  <si>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</si>
  <si>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</si>
  <si>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</si>
  <si>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</si>
  <si>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</si>
  <si>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</si>
  <si>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</si>
  <si>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</si>
  <si>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</si>
  <si>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</si>
  <si>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</si>
  <si>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</si>
  <si>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</si>
  <si>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</si>
  <si>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</si>
  <si>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</si>
  <si>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</si>
  <si>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</si>
  <si>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</si>
  <si>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</si>
  <si>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</si>
  <si>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</si>
  <si>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</si>
  <si>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</si>
  <si>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</si>
  <si>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</si>
  <si>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</si>
  <si>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</si>
  <si>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</si>
  <si>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</si>
  <si>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</si>
  <si>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</si>
  <si>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</si>
  <si>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</si>
  <si>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</si>
  <si>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</si>
  <si>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</si>
  <si>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</si>
  <si>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</si>
  <si>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</si>
  <si>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</si>
  <si>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</si>
  <si>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</si>
  <si>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</si>
  <si>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</si>
  <si>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</si>
  <si>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</si>
  <si>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</si>
  <si>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</si>
  <si>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</si>
  <si>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</si>
  <si>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</si>
  <si>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</si>
  <si>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</si>
  <si>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</si>
  <si>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</si>
  <si>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</si>
  <si>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</si>
  <si>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</si>
  <si>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</si>
  <si>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</si>
  <si>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</si>
  <si>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</si>
  <si>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</si>
  <si>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</si>
  <si>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</si>
  <si>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</si>
  <si>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</si>
  <si>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</si>
  <si>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</si>
  <si>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</si>
  <si>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</si>
  <si>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</si>
  <si>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</si>
  <si>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</si>
  <si>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</si>
  <si>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</si>
  <si>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</si>
  <si>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</si>
  <si>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</si>
  <si>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</si>
  <si>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</si>
  <si>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</si>
  <si>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</si>
  <si>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</si>
  <si>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</si>
  <si>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</si>
  <si>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</si>
  <si>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</si>
  <si>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</si>
  <si>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</si>
  <si>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</si>
  <si>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</si>
  <si>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</si>
  <si>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</si>
  <si>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</si>
  <si>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</si>
  <si>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</si>
  <si>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</si>
  <si>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</si>
  <si>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</si>
  <si>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</si>
  <si>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</si>
  <si>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</si>
  <si>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</si>
  <si>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</si>
  <si>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</si>
  <si>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</si>
  <si>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</si>
  <si>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</si>
  <si>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</si>
  <si>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</si>
  <si>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</si>
  <si>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</si>
  <si>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</si>
  <si>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</si>
  <si>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</si>
  <si>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</si>
  <si>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</si>
  <si>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</si>
  <si>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</si>
  <si>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</si>
  <si>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</si>
  <si>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</si>
  <si>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</si>
  <si>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</si>
  <si>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</si>
  <si>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</si>
  <si>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</si>
  <si>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</si>
  <si>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</si>
  <si>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</si>
  <si>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</si>
  <si>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</si>
  <si>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</si>
  <si>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</si>
  <si>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</si>
  <si>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</si>
  <si>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</si>
  <si>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</si>
  <si>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</si>
  <si>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</si>
  <si>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</si>
  <si>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</si>
  <si>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</si>
  <si>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</si>
  <si>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</si>
  <si>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</si>
  <si>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</si>
  <si>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</si>
  <si>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</si>
  <si>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</si>
  <si>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</si>
  <si>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</si>
  <si>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</si>
  <si>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</si>
  <si>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</si>
  <si>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</si>
  <si>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</si>
  <si>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</si>
  <si>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</si>
  <si>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</si>
  <si>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</si>
  <si>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</si>
  <si>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</si>
  <si>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</si>
  <si>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</si>
  <si>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</si>
  <si>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</si>
  <si>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</si>
  <si>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</si>
  <si>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</si>
  <si>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</si>
  <si>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</si>
  <si>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</si>
  <si>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</si>
  <si>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</si>
  <si>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</si>
  <si>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</si>
  <si>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</si>
  <si>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</si>
  <si>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</si>
  <si>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</si>
  <si>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</si>
  <si>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</si>
  <si>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</si>
  <si>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</si>
  <si>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</si>
  <si>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</si>
  <si>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</si>
  <si>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</si>
  <si>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</si>
  <si>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</si>
  <si>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</si>
  <si>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</si>
  <si>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</si>
  <si>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</si>
  <si>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</si>
  <si>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</si>
  <si>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</si>
  <si>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</si>
  <si>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</si>
  <si>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</si>
  <si>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</si>
  <si>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</si>
  <si>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</si>
  <si>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</si>
  <si>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</si>
  <si>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</si>
  <si>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</si>
  <si>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</si>
  <si>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</si>
  <si>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</si>
  <si>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</si>
  <si>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</si>
  <si>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</si>
  <si>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</si>
  <si>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</si>
  <si>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</si>
  <si>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</si>
  <si>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</si>
  <si>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</si>
  <si>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</si>
  <si>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</si>
  <si>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</si>
  <si>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</si>
  <si>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</si>
  <si>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</si>
  <si>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</si>
  <si>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</si>
  <si>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</si>
  <si>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</si>
  <si>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</si>
  <si>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</si>
  <si>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</si>
  <si>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</si>
  <si>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</si>
  <si>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</si>
  <si>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</si>
  <si>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</si>
  <si>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</si>
  <si>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</si>
  <si>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</si>
  <si>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</si>
  <si>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</si>
  <si>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</si>
  <si>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</si>
  <si>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</si>
  <si>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</si>
  <si>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</si>
  <si>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</si>
  <si>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</si>
  <si>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</si>
  <si>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</si>
  <si>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</si>
  <si>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</si>
  <si>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</si>
  <si>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</si>
  <si>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</si>
  <si>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</si>
  <si>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</si>
  <si>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</si>
  <si>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</si>
  <si>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</si>
  <si>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</si>
  <si>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</si>
  <si>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</si>
  <si>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</si>
  <si>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</si>
  <si>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</si>
  <si>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</si>
  <si>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</si>
  <si>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</si>
  <si>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</si>
  <si>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</si>
  <si>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</si>
  <si>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</si>
  <si>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</si>
  <si>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</si>
  <si>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</si>
  <si>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</si>
  <si>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</si>
  <si>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</si>
  <si>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</si>
  <si>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</si>
  <si>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</si>
  <si>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</si>
  <si>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</si>
  <si>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</si>
  <si>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</si>
  <si>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</si>
  <si>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</si>
  <si>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</si>
  <si>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</si>
  <si>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</si>
  <si>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</si>
  <si>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</si>
  <si>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</si>
  <si>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</si>
  <si>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</si>
  <si>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</si>
  <si>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</si>
  <si>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</si>
  <si>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</si>
  <si>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</si>
  <si>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</si>
  <si>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</si>
  <si>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</si>
  <si>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</si>
  <si>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</si>
  <si>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</si>
  <si>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</si>
  <si>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</si>
  <si>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</si>
  <si>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</si>
  <si>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</si>
  <si>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</si>
  <si>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</si>
  <si>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</si>
  <si>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</si>
  <si>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</si>
  <si>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</si>
  <si>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</si>
  <si>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</si>
  <si>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</si>
  <si>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</si>
  <si>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</si>
  <si>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</si>
  <si>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</si>
  <si>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</si>
  <si>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</si>
  <si>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</si>
  <si>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</si>
  <si>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</si>
  <si>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</si>
  <si>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</si>
  <si>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</si>
  <si>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</si>
  <si>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</si>
  <si>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</si>
  <si>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</si>
  <si>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</si>
  <si>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</si>
  <si>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</si>
  <si>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</si>
  <si>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</si>
  <si>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</si>
  <si>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</si>
  <si>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</si>
  <si>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</si>
  <si>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</si>
  <si>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</si>
  <si>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</si>
  <si>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</si>
  <si>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</si>
  <si>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</si>
  <si>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</si>
  <si>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</si>
  <si>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</si>
  <si>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</si>
  <si>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</si>
  <si>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</si>
  <si>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</si>
  <si>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</si>
  <si>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</si>
  <si>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</si>
  <si>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</si>
  <si>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</si>
  <si>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</si>
  <si>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</si>
  <si>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</si>
  <si>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</si>
  <si>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</si>
  <si>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</si>
  <si>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</si>
  <si>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</si>
  <si>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</si>
  <si>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</si>
  <si>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</si>
  <si>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</si>
  <si>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</si>
  <si>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</si>
  <si>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</si>
  <si>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</si>
  <si>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</si>
  <si>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</si>
  <si>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</si>
  <si>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</si>
  <si>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</si>
  <si>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</si>
  <si>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</si>
  <si>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</si>
  <si>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</si>
  <si>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</si>
  <si>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</si>
  <si>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</si>
  <si>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</si>
  <si>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</si>
  <si>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</si>
  <si>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</si>
  <si>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</si>
  <si>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</si>
  <si>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</si>
  <si>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</si>
  <si>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</si>
  <si>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</si>
  <si>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</si>
  <si>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</si>
  <si>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</si>
  <si>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</si>
  <si>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</si>
  <si>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</si>
  <si>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</si>
  <si>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</si>
  <si>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</si>
  <si>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</si>
  <si>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</si>
  <si>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</si>
  <si>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</si>
  <si>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</si>
  <si>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</si>
  <si>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</si>
  <si>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</si>
  <si>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</si>
  <si>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</si>
  <si>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</si>
  <si>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</si>
  <si>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</si>
  <si>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</si>
  <si>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</si>
  <si>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</si>
  <si>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</si>
  <si>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</si>
  <si>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</si>
  <si>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</si>
  <si>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</si>
  <si>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</si>
  <si>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</si>
  <si>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</si>
  <si>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</si>
  <si>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</si>
  <si>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</si>
  <si>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</si>
  <si>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</si>
  <si>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</si>
  <si>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</si>
  <si>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</si>
  <si>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</si>
  <si>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</si>
  <si>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</si>
  <si>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</si>
  <si>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</si>
  <si>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</si>
  <si>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</si>
  <si>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</si>
  <si>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</si>
  <si>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</si>
  <si>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</si>
  <si>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</si>
  <si>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</si>
  <si>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</si>
  <si>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</si>
  <si>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</si>
  <si>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</si>
  <si>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</si>
  <si>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</si>
  <si>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</si>
  <si>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</si>
  <si>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</si>
  <si>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</si>
  <si>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</si>
  <si>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</si>
  <si>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</si>
  <si>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</si>
  <si>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</si>
  <si>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</si>
  <si>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</si>
  <si>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</si>
  <si>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</si>
  <si>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</si>
  <si>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</si>
  <si>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</si>
  <si>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</si>
  <si>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</si>
  <si>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</si>
  <si>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</si>
  <si>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</si>
  <si>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</si>
  <si>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</si>
  <si>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</si>
  <si>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</si>
  <si>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</si>
  <si>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</si>
  <si>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</si>
  <si>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</si>
  <si>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</si>
  <si>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</si>
  <si>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</si>
  <si>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</si>
  <si>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</si>
  <si>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</si>
  <si>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</si>
  <si>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</si>
  <si>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</si>
  <si>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</si>
  <si>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</si>
  <si>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</si>
  <si>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</si>
  <si>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</si>
  <si>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</si>
  <si>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</si>
  <si>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</si>
  <si>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</si>
  <si>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</si>
  <si>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</si>
  <si>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</si>
  <si>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</si>
  <si>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</si>
  <si>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</si>
  <si>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</si>
  <si>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</si>
  <si>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</si>
  <si>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</si>
  <si>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</si>
  <si>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</si>
  <si>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</si>
  <si>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</si>
  <si>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</si>
  <si>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</si>
  <si>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</si>
  <si>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</si>
  <si>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</si>
  <si>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</si>
  <si>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</si>
  <si>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</si>
  <si>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</si>
  <si>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</si>
  <si>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</si>
  <si>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</si>
  <si>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</si>
  <si>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</si>
  <si>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</si>
  <si>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</si>
  <si>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</si>
  <si>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</si>
  <si>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</si>
  <si>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</si>
  <si>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</si>
  <si>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</si>
  <si>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</si>
  <si>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</si>
  <si>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</si>
  <si>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</si>
  <si>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</si>
  <si>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</si>
  <si>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</si>
  <si>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</si>
  <si>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</si>
  <si>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</si>
  <si>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</si>
  <si>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</si>
  <si>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</si>
  <si>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</si>
  <si>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</si>
  <si>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</si>
  <si>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</si>
  <si>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</si>
  <si>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</si>
  <si>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</si>
  <si>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</si>
  <si>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</si>
  <si>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</si>
  <si>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</si>
  <si>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</si>
  <si>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</si>
  <si>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</si>
  <si>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</si>
  <si>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</si>
  <si>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</si>
  <si>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</si>
  <si>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</si>
  <si>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</si>
  <si>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</si>
  <si>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</si>
  <si>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</si>
  <si>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</si>
  <si>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</si>
  <si>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</si>
  <si>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</si>
  <si>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</si>
  <si>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</si>
  <si>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</si>
  <si>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</si>
  <si>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</si>
  <si>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</si>
  <si>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</si>
  <si>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</si>
  <si>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</si>
  <si>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</si>
  <si>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</si>
  <si>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</si>
  <si>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</si>
  <si>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</si>
  <si>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</si>
  <si>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</si>
  <si>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</si>
  <si>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</si>
  <si>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</si>
  <si>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</si>
  <si>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</si>
  <si>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</si>
  <si>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</si>
  <si>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</si>
  <si>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</si>
  <si>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</si>
  <si>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</si>
  <si>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</si>
  <si>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</si>
  <si>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</si>
  <si>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</si>
  <si>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</si>
  <si>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</si>
  <si>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</si>
  <si>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</si>
  <si>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</si>
  <si>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</si>
  <si>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</si>
  <si>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</si>
  <si>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</si>
  <si>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</si>
  <si>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</si>
  <si>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</si>
  <si>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</si>
  <si>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</si>
  <si>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</si>
  <si>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</si>
  <si>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</si>
  <si>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</si>
  <si>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</si>
  <si>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</si>
  <si>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</si>
  <si>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</si>
  <si>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</si>
  <si>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</si>
  <si>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</si>
  <si>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</si>
  <si>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</si>
  <si>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</si>
  <si>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</si>
  <si>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</si>
  <si>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</si>
  <si>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</si>
  <si>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</si>
  <si>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</si>
  <si>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</si>
  <si>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</si>
  <si>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</si>
  <si>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</si>
  <si>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</si>
  <si>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</si>
  <si>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</si>
  <si>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</si>
  <si>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</si>
  <si>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</si>
  <si>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</si>
  <si>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</si>
  <si>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</si>
  <si>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</si>
  <si>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</si>
  <si>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</si>
  <si>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</si>
  <si>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</si>
  <si>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</si>
  <si>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</si>
  <si>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</si>
  <si>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</si>
  <si>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</si>
  <si>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</si>
  <si>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</si>
  <si>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</si>
  <si>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</si>
  <si>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</si>
  <si>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</si>
  <si>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</si>
  <si>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</si>
  <si>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</si>
  <si>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</si>
  <si>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</si>
  <si>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</si>
  <si>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</si>
  <si>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</si>
  <si>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</si>
  <si>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</si>
  <si>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</si>
  <si>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</si>
  <si>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</si>
  <si>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</si>
  <si>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</si>
  <si>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</si>
  <si>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</si>
  <si>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</si>
  <si>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</si>
  <si>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</si>
  <si>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</si>
  <si>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</si>
  <si>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</si>
  <si>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</si>
  <si>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</si>
  <si>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</si>
  <si>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</si>
  <si>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</si>
  <si>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</si>
  <si>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</si>
  <si>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</si>
  <si>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</si>
  <si>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</si>
  <si>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</si>
  <si>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</si>
  <si>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</si>
  <si>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</si>
  <si>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</si>
  <si>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</si>
  <si>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</si>
  <si>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</si>
  <si>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</si>
  <si>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</si>
  <si>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</si>
  <si>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</si>
  <si>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</si>
  <si>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</si>
  <si>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</si>
  <si>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</si>
  <si>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</si>
  <si>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</si>
  <si>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</si>
  <si>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</si>
  <si>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</si>
  <si>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</si>
  <si>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</si>
  <si>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</si>
  <si>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</si>
  <si>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</si>
  <si>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</si>
  <si>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</si>
  <si>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</si>
  <si>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</si>
  <si>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</si>
  <si>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</si>
  <si>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</si>
  <si>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</si>
  <si>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</si>
  <si>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</si>
  <si>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</si>
  <si>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</si>
  <si>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</si>
  <si>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</si>
  <si>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</si>
  <si>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</si>
  <si>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</si>
  <si>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</si>
  <si>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</si>
  <si>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</si>
  <si>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</si>
  <si>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</si>
  <si>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</si>
  <si>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</si>
  <si>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</si>
  <si>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</si>
  <si>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</si>
  <si>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</si>
  <si>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</si>
  <si>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</si>
  <si>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</si>
  <si>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</si>
  <si>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</si>
  <si>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</si>
  <si>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</si>
  <si>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</si>
  <si>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</si>
  <si>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</si>
  <si>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</si>
  <si>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</si>
  <si>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</si>
  <si>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</si>
  <si>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</si>
  <si>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</si>
  <si>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</si>
  <si>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</si>
  <si>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</si>
  <si>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</si>
  <si>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</si>
  <si>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</si>
  <si>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</si>
  <si>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</si>
  <si>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</si>
  <si>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</si>
  <si>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</si>
  <si>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</si>
  <si>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</si>
  <si>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</si>
  <si>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</si>
  <si>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</si>
  <si>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</si>
  <si>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</si>
  <si>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</si>
  <si>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</si>
  <si>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</si>
  <si>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</si>
  <si>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</si>
  <si>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</si>
  <si>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</si>
  <si>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</si>
  <si>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</si>
  <si>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</si>
  <si>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</si>
  <si>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</si>
  <si>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</si>
  <si>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</si>
  <si>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</si>
  <si>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</si>
  <si>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</si>
  <si>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</si>
  <si>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</si>
  <si>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</si>
  <si>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</si>
  <si>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</si>
  <si>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</si>
  <si>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</si>
  <si>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</si>
  <si>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</si>
  <si>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</si>
  <si>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</si>
  <si>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</si>
  <si>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</si>
  <si>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</si>
  <si>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</si>
  <si>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</si>
  <si>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</si>
  <si>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</si>
  <si>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</si>
  <si>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</si>
  <si>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</si>
  <si>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</si>
  <si>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</si>
  <si>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</si>
  <si>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</si>
  <si>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</si>
  <si>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</si>
  <si>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</si>
  <si>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</si>
  <si>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</si>
  <si>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</si>
  <si>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</si>
  <si>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</si>
  <si>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</si>
  <si>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</si>
  <si>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</si>
  <si>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</si>
  <si>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</si>
  <si>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</si>
  <si>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</si>
  <si>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</si>
  <si>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</si>
  <si>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</si>
  <si>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</si>
  <si>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</si>
  <si>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</si>
  <si>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</si>
  <si>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</si>
  <si>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</si>
  <si>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</si>
  <si>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</si>
  <si>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</si>
  <si>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</si>
  <si>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</si>
  <si>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</si>
  <si>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</si>
  <si>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</si>
  <si>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</si>
  <si>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</si>
  <si>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</si>
  <si>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</si>
  <si>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</si>
  <si>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</si>
  <si>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</si>
  <si>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</si>
  <si>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</si>
  <si>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</si>
  <si>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</si>
  <si>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</si>
  <si>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</si>
  <si>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</si>
  <si>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</si>
  <si>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</si>
  <si>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</si>
  <si>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</si>
  <si>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</si>
  <si>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</si>
  <si>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</si>
  <si>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</si>
  <si>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</si>
  <si>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</si>
  <si>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</si>
  <si>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</si>
  <si>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</si>
  <si>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</si>
  <si>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</si>
  <si>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</si>
  <si>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</si>
  <si>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</si>
  <si>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</si>
  <si>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</si>
  <si>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</si>
  <si>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</si>
  <si>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</si>
  <si>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</si>
  <si>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</si>
  <si>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</si>
  <si>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</si>
  <si>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</si>
  <si>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</si>
  <si>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</si>
  <si>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</si>
  <si>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</si>
  <si>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</si>
  <si>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</si>
  <si>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</si>
  <si>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</si>
  <si>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</si>
  <si>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</si>
  <si>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</si>
  <si>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</si>
  <si>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</si>
  <si>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</si>
  <si>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</si>
  <si>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</si>
  <si>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</si>
  <si>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</si>
  <si>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</si>
  <si>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</si>
  <si>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</si>
  <si>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</si>
  <si>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</si>
  <si>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</si>
  <si>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</si>
  <si>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</si>
  <si>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</si>
  <si>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</si>
  <si>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</si>
  <si>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</si>
  <si>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</si>
  <si>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</si>
  <si>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</si>
  <si>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</si>
  <si>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</si>
  <si>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</si>
  <si>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</si>
  <si>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</si>
  <si>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</si>
  <si>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</si>
  <si>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</si>
  <si>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</si>
  <si>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</si>
  <si>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</si>
  <si>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</si>
  <si>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</si>
  <si>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</si>
  <si>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</si>
  <si>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</si>
  <si>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</si>
  <si>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</si>
  <si>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</si>
  <si>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</si>
  <si>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</si>
  <si>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</si>
  <si>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</si>
  <si>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</si>
  <si>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</si>
  <si>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</si>
  <si>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</si>
  <si>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</si>
  <si>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</si>
  <si>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</si>
  <si>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</si>
  <si>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</si>
  <si>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</si>
  <si>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</si>
  <si>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</si>
  <si>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</si>
  <si>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</si>
  <si>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</si>
  <si>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</si>
  <si>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</si>
  <si>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</si>
  <si>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</si>
  <si>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</si>
  <si>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</si>
  <si>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</si>
  <si>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</si>
  <si>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</si>
  <si>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</si>
  <si>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</si>
  <si>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</si>
  <si>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</si>
  <si>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</si>
  <si>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</si>
  <si>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</si>
  <si>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</si>
  <si>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</si>
  <si>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</si>
  <si>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</si>
  <si>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</si>
  <si>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</si>
  <si>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</si>
  <si>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</si>
  <si>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</si>
  <si>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</si>
  <si>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</si>
  <si>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</si>
  <si>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</si>
  <si>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</si>
  <si>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</si>
  <si>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</si>
  <si>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</si>
  <si>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</si>
  <si>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</si>
  <si>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</si>
  <si>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</si>
  <si>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</si>
  <si>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</si>
  <si>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</si>
  <si>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</si>
  <si>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</si>
  <si>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</si>
  <si>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</si>
  <si>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</si>
  <si>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</si>
  <si>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</si>
  <si>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</si>
  <si>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</si>
  <si>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</si>
  <si>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</si>
  <si>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</si>
  <si>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</si>
  <si>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</si>
  <si>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</si>
  <si>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Concedido intervalo das 11h08 até 12h38, intervalo entregue as 13h05, devido local de trabalho com dificuldades de operação + chuva.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</si>
  <si>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</si>
  <si>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</si>
  <si>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</si>
  <si>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</si>
  <si>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</si>
  <si>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>Tp pronto 10h39 / Realizado intervalo das 12h40 até 14h10 / Produção 7 dormentes substituidos e 18 metros de limpeza de lastro. (baixa produção, devido lastro contaminado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</si>
  <si>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</si>
  <si>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</si>
  <si>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</si>
  <si>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</si>
  <si>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</si>
  <si>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</si>
  <si>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realizado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</si>
  <si>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</si>
  <si>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</si>
  <si>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</si>
  <si>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</si>
  <si>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</si>
  <si>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</si>
  <si>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</si>
  <si>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</si>
  <si>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Realizado intervalo das 12h55 até 13h55</t>
  </si>
  <si>
    <t>;</t>
  </si>
  <si>
    <t>TP pronto 07h29 / Em intervalo das 12h55 até 13h55</t>
  </si>
  <si>
    <t>TP pronto 09h17 /  sem oportunidade</t>
  </si>
  <si>
    <t xml:space="preserve">TP pronto 12h40 / Realizado intervalo das 13h35 até 16h05 / </t>
  </si>
  <si>
    <t>Aguardando ativos posicionar no bloc</t>
  </si>
  <si>
    <t>Em intervalo das 12h03 até 20h03</t>
  </si>
  <si>
    <t>Previsão de pronto 10h00</t>
  </si>
  <si>
    <t>Em intervalo bloco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</si>
  <si>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</si>
  <si>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</si>
  <si>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</si>
  <si>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</si>
  <si>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</si>
  <si>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</si>
  <si>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</si>
  <si>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</si>
  <si>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</si>
  <si>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ZPT-ZXW</t>
  </si>
  <si>
    <t>ZPTZXW</t>
  </si>
  <si>
    <t>Deslocamento turmas na serra</t>
  </si>
  <si>
    <t>pDM - Substituição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</si>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</sst>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89" sqref="BP3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hidden="1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 hidden="1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 hidden="1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 hidden="1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 hidden="1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 hidden="1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 hidden="1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 hidden="1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 hidden="1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 hidden="1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6.25E-2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0.54513888888888884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8.1249999999999933E-2</v>
      </c>
      <c r="AZ361" s="153"/>
      <c r="BA361" s="109">
        <v>400</v>
      </c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2</v>
      </c>
      <c r="BI361" s="17"/>
      <c r="BJ361" s="17" t="s">
        <v>1510</v>
      </c>
      <c r="BK361" s="18" t="s">
        <v>1511</v>
      </c>
      <c r="BL361" s="16"/>
      <c r="BM361" s="130" t="s">
        <v>410</v>
      </c>
      <c r="BN361" s="130" t="s">
        <v>410</v>
      </c>
      <c r="BO361" s="130" t="s">
        <v>410</v>
      </c>
      <c r="BP361" s="18" t="s">
        <v>558</v>
      </c>
      <c r="BQ361" s="12" t="str">
        <f>IF(AND(BR361&lt;1,BS361&lt;1),"Produção e Intervalo",IF(BR361&lt;1,"Intervalo",IF(BS361&lt;1,"Produção","Aderente")))</f>
        <v>Aderente</v>
      </c>
      <c r="BR361" s="19">
        <f>IF(OR(B361="",F361=""),"*",AY361/P361)</f>
        <v>1.2999999999999989</v>
      </c>
      <c r="BS361" s="19">
        <f>IF(OR(B361="",F361=""),"*",BA361/Q361)</f>
        <v>2</v>
      </c>
      <c r="BT361" s="8" t="str">
        <f t="shared" si="8"/>
        <v>OKOK</v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>
        <v>7</v>
      </c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2</v>
      </c>
      <c r="BI365" s="17"/>
      <c r="BJ365" s="17" t="s">
        <v>1516</v>
      </c>
      <c r="BK365" s="17" t="s">
        <v>1517</v>
      </c>
      <c r="BL365" s="16"/>
      <c r="BM365" s="130" t="s">
        <v>406</v>
      </c>
      <c r="BN365" s="130" t="s">
        <v>435</v>
      </c>
      <c r="BO365" s="130" t="s">
        <v>527</v>
      </c>
      <c r="BP365" s="17" t="s">
        <v>1517</v>
      </c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0.23333333333333334</v>
      </c>
      <c r="BT365" s="8" t="str">
        <f t="shared" si="8"/>
        <v>SuperExecução</v>
      </c>
    </row>
    <row r="366" spans="1:72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>
        <v>40</v>
      </c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2</v>
      </c>
      <c r="BI374" s="17"/>
      <c r="BJ374" s="17" t="s">
        <v>1523</v>
      </c>
      <c r="BK374" s="18" t="s">
        <v>1524</v>
      </c>
      <c r="BL374" s="16"/>
      <c r="BM374" s="130" t="s">
        <v>410</v>
      </c>
      <c r="BN374" s="130" t="s">
        <v>410</v>
      </c>
      <c r="BO374" s="130" t="s">
        <v>410</v>
      </c>
      <c r="BP374" s="18"/>
      <c r="BQ374" s="12" t="str">
        <f>IF(AND(BR374&lt;1,BS374&lt;1),"Produção e Intervalo",IF(BR374&lt;1,"Intervalo",IF(BS374&lt;1,"Produção","Aderente")))</f>
        <v>Intervalo</v>
      </c>
      <c r="BR374" s="19">
        <f>IF(OR(B374="",F374=""),"*",AY374/P374)</f>
        <v>0.75</v>
      </c>
      <c r="BS374" s="19">
        <f>IF(OR(B374="",F374=""),"*",BA374/Q374)</f>
        <v>1.3333333333333333</v>
      </c>
      <c r="BT374" s="8" t="str">
        <f t="shared" si="8"/>
        <v>OKOK</v>
      </c>
    </row>
    <row r="375" spans="1:72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>
        <v>40</v>
      </c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2</v>
      </c>
      <c r="BI375" s="17"/>
      <c r="BJ375" s="17" t="s">
        <v>1523</v>
      </c>
      <c r="BK375" s="18" t="s">
        <v>1524</v>
      </c>
      <c r="BL375" s="16"/>
      <c r="BM375" s="130" t="s">
        <v>410</v>
      </c>
      <c r="BN375" s="130" t="s">
        <v>410</v>
      </c>
      <c r="BO375" s="130" t="s">
        <v>410</v>
      </c>
      <c r="BP375" s="18"/>
      <c r="BQ375" s="12" t="str">
        <f>IF(AND(BR375&lt;1,BS375&lt;1),"Produção e Intervalo",IF(BR375&lt;1,"Intervalo",IF(BS375&lt;1,"Produção","Aderente")))</f>
        <v>Intervalo</v>
      </c>
      <c r="BR375" s="19">
        <f>IF(OR(B375="",F375=""),"*",AY375/P375)</f>
        <v>0.75</v>
      </c>
      <c r="BS375" s="19">
        <f>IF(OR(B375="",F375=""),"*",BA375/Q375)</f>
        <v>1.3333333333333333</v>
      </c>
      <c r="BT375" s="8" t="str">
        <f t="shared" si="8"/>
        <v>OKOK</v>
      </c>
    </row>
    <row r="376" spans="1:72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6.9444444444444447E-4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6.9444444444444447E-4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6.9444444444444447E-4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6.9444444444444447E-4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6.9444444444444447E-4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6.9444444444444447E-4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6.9444444444444447E-4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6.9444444444444447E-4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6.9444444444444447E-4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6.9444444444444447E-4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6.9444444444444447E-4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6.9444444444444447E-4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>
        <v>60</v>
      </c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2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1535</v>
      </c>
      <c r="BQ386" s="12" t="str">
        <f>IF(AND(BR386&lt;1,BS386&lt;1),"Produção e Intervalo",IF(BR386&lt;1,"Intervalo",IF(BS386&lt;1,"Produção","Aderente")))</f>
        <v>Intervalo</v>
      </c>
      <c r="BR386" s="19">
        <f>IF(OR(B386="",F386=""),"*",AY386/P386)</f>
        <v>0.50000000000000089</v>
      </c>
      <c r="BS386" s="19">
        <f>IF(OR(B386="",F386=""),"*",BA386/Q386)</f>
        <v>2</v>
      </c>
      <c r="BT386" s="8" t="str">
        <f t="shared" si="8"/>
        <v>CCOCirculaçãoIntervaloOportunidade</v>
      </c>
    </row>
    <row r="387" spans="1:72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>
        <v>0</v>
      </c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1536</v>
      </c>
      <c r="BK388" s="17" t="s">
        <v>1536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1536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>
        <v>2</v>
      </c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2</v>
      </c>
      <c r="BI389" s="17"/>
      <c r="BJ389" s="17" t="s">
        <v>1321</v>
      </c>
      <c r="BK389" s="18" t="s">
        <v>1537</v>
      </c>
      <c r="BL389" s="16"/>
      <c r="BM389" s="130" t="s">
        <v>406</v>
      </c>
      <c r="BN389" s="130" t="s">
        <v>435</v>
      </c>
      <c r="BO389" s="130" t="s">
        <v>542</v>
      </c>
      <c r="BP389" s="18" t="s">
        <v>1537</v>
      </c>
      <c r="BQ389" s="12" t="str">
        <f>IF(AND(BR389&lt;1,BS389&lt;1),"Produção e Intervalo",IF(BR389&lt;1,"Intervalo",IF(BS389&lt;1,"Produção","Aderente")))</f>
        <v>Intervalo</v>
      </c>
      <c r="BR389" s="19">
        <f>IF(OR(B389="",F389=""),"*",AY389/P389)</f>
        <v>0.83333333333333304</v>
      </c>
      <c r="BS389" s="19">
        <f>IF(OR(B389="",F389=""),"*",BA389/Q389)</f>
        <v>1</v>
      </c>
      <c r="BT389" s="8" t="str">
        <f t="shared" si="8"/>
        <v>SuperExecução</v>
      </c>
    </row>
    <row r="390" spans="1:72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1538</v>
      </c>
      <c r="BK390" s="18" t="s">
        <v>1539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>
        <v>0.52083333333333337</v>
      </c>
      <c r="AS391" s="108">
        <v>0</v>
      </c>
      <c r="AT391" s="108">
        <v>6.9444444444444447E-4</v>
      </c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6.9444444444444447E-4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>
        <v>1</v>
      </c>
      <c r="BI391" s="17"/>
      <c r="BJ391" s="17" t="s">
        <v>1540</v>
      </c>
      <c r="BK391" s="18" t="s">
        <v>1541</v>
      </c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1542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1540</v>
      </c>
      <c r="BK392" s="18" t="s">
        <v>1539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1543</v>
      </c>
      <c r="BK395" s="17" t="s">
        <v>1543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1543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1544</v>
      </c>
      <c r="J396" s="105">
        <v>54</v>
      </c>
      <c r="K396" s="105">
        <v>106</v>
      </c>
      <c r="L396" s="105"/>
      <c r="M396" s="127" t="s">
        <v>1545</v>
      </c>
      <c r="N396" s="127" t="s">
        <v>1545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1546</v>
      </c>
      <c r="BK396" s="17" t="s">
        <v>1546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1546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82.5</v>
      </c>
      <c r="L400" s="105">
        <v>83.3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82.5</v>
      </c>
      <c r="AQ400" s="105">
        <f>BS_CONTROLE[[#This Row],[KM - Inicio]]</f>
        <v>82.5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/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1547</v>
      </c>
      <c r="I420" s="106" t="s">
        <v>1547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1548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1549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1550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>W6246094</v>
      </c>
      <c r="B426" s="102">
        <v>46094</v>
      </c>
      <c r="C426" s="135">
        <f>IF(BS_CONTROLE[[#This Row],[DATA]]="","",WEEKNUM(BS_CONTROLE[[#This Row],[DATA]]))</f>
        <v>11</v>
      </c>
      <c r="D426" s="104" t="s">
        <v>793</v>
      </c>
      <c r="E426" s="159">
        <v>420</v>
      </c>
      <c r="F426" s="126" t="s">
        <v>572</v>
      </c>
      <c r="G426" s="142" t="str">
        <f>IF(D426="","*",VLOOKUP(F426,BS_ATIVIDADE[],3,FALSE))</f>
        <v>OUTROS</v>
      </c>
      <c r="H426" s="106" t="s">
        <v>1263</v>
      </c>
      <c r="I426" s="106" t="s">
        <v>1225</v>
      </c>
      <c r="J426" s="105">
        <v>54</v>
      </c>
      <c r="K426" s="105">
        <v>83.7</v>
      </c>
      <c r="L426" s="105" t="s">
        <v>558</v>
      </c>
      <c r="M426" s="127" t="s">
        <v>1551</v>
      </c>
      <c r="N426" s="127" t="s">
        <v>1552</v>
      </c>
      <c r="O426" s="106">
        <v>0.33333333333333331</v>
      </c>
      <c r="P426" s="106">
        <v>4.1666666666666664E-2</v>
      </c>
      <c r="Q426" s="105">
        <v>1</v>
      </c>
      <c r="R426" s="10" t="str">
        <f>IFERROR(_xlfn.XLOOKUP(F426, BS_ATIVIDADE[ATIVIDADE],BS_ATIVIDADE[UNIDADE] ), "*")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6" s="105" t="s">
        <v>1029</v>
      </c>
      <c r="W426" s="151" t="s">
        <v>1553</v>
      </c>
      <c r="X426" s="104" t="s">
        <v>386</v>
      </c>
      <c r="Y426" s="129"/>
      <c r="Z426" s="104"/>
      <c r="AA426" s="105">
        <v>1</v>
      </c>
      <c r="AB426" s="103" t="s">
        <v>377</v>
      </c>
      <c r="AC426" s="152" t="s">
        <v>371</v>
      </c>
      <c r="AD426" s="107">
        <v>0.3125</v>
      </c>
      <c r="AE426" s="105">
        <v>9049</v>
      </c>
      <c r="AF426" s="105" t="s">
        <v>558</v>
      </c>
      <c r="AG426" s="105"/>
      <c r="AH426" s="15"/>
      <c r="AI426" s="126" t="str">
        <f>IF(BS_CONTROLE[[#This Row],[Atividade]]=0, "-", BS_CONTROLE[[#This Row],[Atividade]])</f>
        <v>DESLOCAMENTO</v>
      </c>
      <c r="AJ426" s="9" t="str">
        <f>IF(BS_CONTROLE[[#This Row],[Atividade]]=0, "-", BS_CONTROLE[[#This Row],[Atividade]])</f>
        <v>DESLOCAMENTO</v>
      </c>
      <c r="AK426" s="31" t="str">
        <f>BS_CONTROLE[[#This Row],[Local - Partida]]</f>
        <v>ZPT105-1</v>
      </c>
      <c r="AL426" s="31" t="str">
        <f>BS_CONTROLE[[#This Row],[Local - Encerramento]]</f>
        <v>ZDRZPT</v>
      </c>
      <c r="AM426" s="105" t="str">
        <f>IF(BS_CONTROLE[[#This Row],[Entre - Estações]]=0, "-", BS_CONTROLE[[#This Row],[Entre - Estações]])</f>
        <v>ZPT-ZXW</v>
      </c>
      <c r="AN426" s="105" t="str">
        <f>IF(BS_CONTROLE[[#This Row],[SB]]=0, "-", BS_CONTROLE[[#This Row],[SB]])</f>
        <v>ZPTZXW</v>
      </c>
      <c r="AO426" s="105">
        <f>IF(BS_CONTROLE[[#This Row],[SUB]]=0, "-", BS_CONTROLE[[#This Row],[SUB]])</f>
        <v>54</v>
      </c>
      <c r="AP426" s="105">
        <f>BS_CONTROLE[[#This Row],[KM - Inicio]]</f>
        <v>83.7</v>
      </c>
      <c r="AQ426" s="105">
        <f>BS_CONTROLE[[#This Row],[KM - Inicio]]</f>
        <v>83.7</v>
      </c>
      <c r="AR426" s="108"/>
      <c r="AS426" s="108"/>
      <c r="AT426" s="108"/>
      <c r="AU426" s="136"/>
      <c r="AV426" s="136"/>
      <c r="AW426" s="14"/>
      <c r="AX426" s="14"/>
      <c r="AY426" s="164">
        <f>IF(D426="","*",IFERROR(IF(ISODD(COUNT(AS426:AX426)),"ERRO",SUM((AT426-AS426),(AV426-AU426),(AX426-AW426))),"ERRO"))</f>
        <v>0</v>
      </c>
      <c r="AZ426" s="153"/>
      <c r="BA426" s="109"/>
      <c r="BB426" s="10" t="str">
        <f>IFERROR(_xlfn.XLOOKUP(AI426, BS_ATIVIDADE[ATIVIDADE],BS_ATIVIDADE[UNIDADE] ), "*")</f>
        <v>BINÁRIO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Produção e Intervalo</v>
      </c>
      <c r="BR426" s="19">
        <f>IF(OR(B426="",F426=""),"*",AY426/P426)</f>
        <v>0</v>
      </c>
      <c r="BS426" s="19">
        <f>IF(OR(B426="",F426=""),"*",BA426/Q426)</f>
        <v>0</v>
      </c>
      <c r="BT426" s="8" t="str">
        <f t="shared" si="9"/>
        <v/>
      </c>
    </row>
    <row r="427" spans="1:72" hidden="1">
      <c r="A427" s="47" t="str">
        <f>D427&amp;B427</f>
        <v>MOD ZGP46094</v>
      </c>
      <c r="B427" s="102">
        <v>46094</v>
      </c>
      <c r="C427" s="135">
        <f>IF(BS_CONTROLE[[#This Row],[DATA]]="","",WEEKNUM(BS_CONTROLE[[#This Row],[DATA]]))</f>
        <v>11</v>
      </c>
      <c r="D427" s="104" t="s">
        <v>915</v>
      </c>
      <c r="E427" s="159">
        <v>46</v>
      </c>
      <c r="F427" s="126" t="s">
        <v>548</v>
      </c>
      <c r="G427" s="142" t="str">
        <f>IF(D427="","*",VLOOKUP(F427,BS_ATIVIDADE[],3,FALSE))</f>
        <v>OUTROS</v>
      </c>
      <c r="H427" s="106" t="s">
        <v>558</v>
      </c>
      <c r="I427" s="106" t="s">
        <v>558</v>
      </c>
      <c r="J427" s="105">
        <v>92</v>
      </c>
      <c r="K427" s="105">
        <v>102</v>
      </c>
      <c r="L427" s="105">
        <v>106.3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7" s="106">
        <v>0.47916666666666669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1012</v>
      </c>
      <c r="W427" s="151" t="s">
        <v>1526</v>
      </c>
      <c r="X427" s="104" t="s">
        <v>386</v>
      </c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</v>
      </c>
      <c r="AN427" s="105" t="str">
        <f>IF(BS_CONTROLE[[#This Row],[SB]]=0, "-", BS_CONTROLE[[#This Row],[SB]])</f>
        <v>ZGP2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4">
        <f>IF(D427="","*",IFERROR(IF(ISODD(COUNT(AS427:AX427)),"ERRO",SUM((AT427-AS427),(AV427-AU427),(AX427-AW427))),"ERRO"))</f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Produção e Intervalo</v>
      </c>
      <c r="BR427" s="19">
        <f>IF(OR(B427="",F427=""),"*",AY427/P427)</f>
        <v>0</v>
      </c>
      <c r="BS427" s="19">
        <f>IF(OR(B427="",F427=""),"*",BA427/Q427)</f>
        <v>0</v>
      </c>
      <c r="BT427" s="8" t="str">
        <f t="shared" si="9"/>
        <v/>
      </c>
    </row>
    <row r="428" spans="1:72" hidden="1">
      <c r="A428" s="47" t="str">
        <f>D428&amp;B428</f>
        <v>V8546094</v>
      </c>
      <c r="B428" s="102">
        <v>46094</v>
      </c>
      <c r="C428" s="135">
        <f>IF(BS_CONTROLE[[#This Row],[DATA]]="","",WEEKNUM(BS_CONTROLE[[#This Row],[DATA]]))</f>
        <v>11</v>
      </c>
      <c r="D428" s="104" t="s">
        <v>759</v>
      </c>
      <c r="E428" s="159">
        <v>318</v>
      </c>
      <c r="F428" s="126" t="s">
        <v>663</v>
      </c>
      <c r="G428" s="142" t="str">
        <f>IF(D428="","*",VLOOKUP(F428,BS_ATIVIDADE[],3,FALSE))</f>
        <v>MECANIZAÇÃO - SOCADORA</v>
      </c>
      <c r="H428" s="106" t="s">
        <v>1225</v>
      </c>
      <c r="I428" s="106" t="s">
        <v>1225</v>
      </c>
      <c r="J428" s="105">
        <v>92</v>
      </c>
      <c r="K428" s="105">
        <v>102.1</v>
      </c>
      <c r="L428" s="105">
        <v>103.54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0.41666666666666669</v>
      </c>
      <c r="P428" s="106">
        <v>0</v>
      </c>
      <c r="Q428" s="105">
        <v>1310</v>
      </c>
      <c r="R428" s="10" t="str">
        <f>IFERROR(_xlfn.XLOOKUP(F428, BS_ATIVIDADE[ATIVIDADE],BS_ATIVIDADE[UNIDADE] ), "*")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1012</v>
      </c>
      <c r="W428" s="151" t="s">
        <v>1317</v>
      </c>
      <c r="X428" s="104" t="s">
        <v>386</v>
      </c>
      <c r="Y428" s="129"/>
      <c r="Z428" s="104"/>
      <c r="AA428" s="105">
        <v>1</v>
      </c>
      <c r="AB428" s="103" t="s">
        <v>377</v>
      </c>
      <c r="AC428" s="152" t="s">
        <v>371</v>
      </c>
      <c r="AD428" s="107">
        <v>0.3125</v>
      </c>
      <c r="AE428" s="105">
        <v>2235</v>
      </c>
      <c r="AF428" s="105" t="s">
        <v>558</v>
      </c>
      <c r="AG428" s="105"/>
      <c r="AH428" s="15"/>
      <c r="AI428" s="126" t="str">
        <f>IF(BS_CONTROLE[[#This Row],[Atividade]]=0, "-", BS_CONTROLE[[#This Row],[Atividade]])</f>
        <v>MECANIZAÇÃO - SOCADORA</v>
      </c>
      <c r="AJ428" s="9" t="str">
        <f>IF(BS_CONTROLE[[#This Row],[Atividade]]=0, "-", BS_CONTROLE[[#This Row],[Atividade]])</f>
        <v>MECANIZAÇÃO - SOCADORA</v>
      </c>
      <c r="AK428" s="31" t="str">
        <f>BS_CONTROLE[[#This Row],[Local - Partida]]</f>
        <v>ZDRZPT</v>
      </c>
      <c r="AL428" s="31" t="str">
        <f>BS_CONTROLE[[#This Row],[Local - Encerramento]]</f>
        <v>ZDRZPT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4">
        <f>IF(D428="","*",IFERROR(IF(ISODD(COUNT(AS428:AX428)),"ERRO",SUM((AT428-AS428),(AV428-AU428),(AX428-AW428))),"ERRO"))</f>
        <v>0</v>
      </c>
      <c r="AZ428" s="153"/>
      <c r="BA428" s="109"/>
      <c r="BB428" s="10" t="str">
        <f>IFERROR(_xlfn.XLOOKUP(AI428, BS_ATIVIDADE[ATIVIDADE],BS_ATIVIDADE[UNIDADE] ), "*")</f>
        <v>M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e">
        <f>IF(AND(BR428&lt;1,BS428&lt;1),"Produção e Intervalo",IF(BR428&lt;1,"Intervalo",IF(BS428&lt;1,"Produção","Aderente")))</f>
        <v>#DIV/0!</v>
      </c>
      <c r="BR428" s="19" t="e">
        <f>IF(OR(B428="",F428=""),"*",AY428/P428)</f>
        <v>#DIV/0!</v>
      </c>
      <c r="BS428" s="19">
        <f>IF(OR(B428="",F428=""),"*",BA428/Q428)</f>
        <v>0</v>
      </c>
      <c r="BT428" s="8" t="str">
        <f t="shared" si="9"/>
        <v/>
      </c>
    </row>
    <row r="429" spans="1:72" hidden="1">
      <c r="A429" s="47" t="str">
        <f>D429&amp;B429</f>
        <v>HUELTON (TP-725)46094</v>
      </c>
      <c r="B429" s="102">
        <v>46094</v>
      </c>
      <c r="C429" s="135">
        <f>IF(BS_CONTROLE[[#This Row],[DATA]]="","",WEEKNUM(BS_CONTROLE[[#This Row],[DATA]]))</f>
        <v>11</v>
      </c>
      <c r="D429" s="104" t="s">
        <v>854</v>
      </c>
      <c r="E429" s="159">
        <v>423</v>
      </c>
      <c r="F429" s="126" t="s">
        <v>740</v>
      </c>
      <c r="G429" s="142" t="str">
        <f>IF(D429="","*",VLOOKUP(F429,BS_ATIVIDADE[],3,FALSE))</f>
        <v>SOLDA</v>
      </c>
      <c r="H429" s="106" t="s">
        <v>558</v>
      </c>
      <c r="I429" s="106" t="s">
        <v>558</v>
      </c>
      <c r="J429" s="105">
        <v>92</v>
      </c>
      <c r="K429" s="105">
        <v>106.8</v>
      </c>
      <c r="L429" s="105" t="s">
        <v>558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29" s="127" t="s">
        <v>367</v>
      </c>
      <c r="O429" s="106">
        <v>0.375</v>
      </c>
      <c r="P429" s="106">
        <v>0.125</v>
      </c>
      <c r="Q429" s="105">
        <v>2</v>
      </c>
      <c r="R429" s="10" t="str">
        <f>IFERROR(_xlfn.XLOOKUP(F429, BS_ATIVIDADE[ATIVIDADE],BS_ATIVIDADE[UNIDADE] ), "*")</f>
        <v>Nº DE SOLDA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1029</v>
      </c>
      <c r="W429" s="151" t="s">
        <v>1025</v>
      </c>
      <c r="X429" s="104" t="s">
        <v>386</v>
      </c>
      <c r="Y429" s="129"/>
      <c r="Z429" s="104"/>
      <c r="AA429" s="105" t="s">
        <v>558</v>
      </c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PDM - SOLDA</v>
      </c>
      <c r="AJ429" s="9" t="str">
        <f>IF(BS_CONTROLE[[#This Row],[Atividade]]=0, "-", BS_CONTROLE[[#This Row],[Atividade]])</f>
        <v>PDM - SOLDA</v>
      </c>
      <c r="AK429" s="31" t="str">
        <f>BS_CONTROLE[[#This Row],[Local - Partida]]</f>
        <v>-</v>
      </c>
      <c r="AL429" s="31" t="str">
        <f>BS_CONTROLE[[#This Row],[Local - Encerramento]]</f>
        <v>-</v>
      </c>
      <c r="AM429" s="105" t="str">
        <f>IF(BS_CONTROLE[[#This Row],[Entre - Estações]]=0, "-", BS_CONTROLE[[#This Row],[Entre - Estações]])</f>
        <v>ZPT</v>
      </c>
      <c r="AN429" s="105" t="str">
        <f>IF(BS_CONTROLE[[#This Row],[SB]]=0, "-", BS_CONTROLE[[#This Row],[SB]])</f>
        <v>ZPT2</v>
      </c>
      <c r="AO429" s="105">
        <f>IF(BS_CONTROLE[[#This Row],[SUB]]=0, "-", BS_CONTROLE[[#This Row],[SUB]])</f>
        <v>92</v>
      </c>
      <c r="AP429" s="105">
        <f>BS_CONTROLE[[#This Row],[KM - Inicio]]</f>
        <v>106.8</v>
      </c>
      <c r="AQ429" s="105">
        <f>BS_CONTROLE[[#This Row],[KM - Inicio]]</f>
        <v>106.8</v>
      </c>
      <c r="AR429" s="108"/>
      <c r="AS429" s="108"/>
      <c r="AT429" s="108"/>
      <c r="AU429" s="136"/>
      <c r="AV429" s="136"/>
      <c r="AW429" s="14"/>
      <c r="AX429" s="14"/>
      <c r="AY429" s="164">
        <f>IF(D429="","*",IFERROR(IF(ISODD(COUNT(AS429:AX429)),"ERRO",SUM((AT429-AS429),(AV429-AU429),(AX429-AW429))),"ERRO"))</f>
        <v>0</v>
      </c>
      <c r="AZ429" s="153"/>
      <c r="BA429" s="109"/>
      <c r="BB429" s="10" t="str">
        <f>IFERROR(_xlfn.XLOOKUP(AI429, BS_ATIVIDADE[ATIVIDADE],BS_ATIVIDADE[UNIDADE] ), "*")</f>
        <v>Nº DE SOLDA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Produção e Intervalo</v>
      </c>
      <c r="BR429" s="19">
        <f>IF(OR(B429="",F429=""),"*",AY429/P429)</f>
        <v>0</v>
      </c>
      <c r="BS429" s="19">
        <f>IF(OR(B429="",F429=""),"*",BA429/Q429)</f>
        <v>0</v>
      </c>
      <c r="BT429" s="8" t="str">
        <f t="shared" si="9"/>
        <v/>
      </c>
    </row>
    <row r="430" spans="1:72" hidden="1">
      <c r="A430" s="47" t="str">
        <f>D430&amp;B430</f>
        <v>EXPANSÃO TURMA 146094</v>
      </c>
      <c r="B430" s="102">
        <v>46094</v>
      </c>
      <c r="C430" s="135">
        <f>IF(BS_CONTROLE[[#This Row],[DATA]]="","",WEEKNUM(BS_CONTROLE[[#This Row],[DATA]]))</f>
        <v>11</v>
      </c>
      <c r="D430" s="104" t="s">
        <v>559</v>
      </c>
      <c r="E430" s="159">
        <v>285</v>
      </c>
      <c r="F430" s="126" t="s">
        <v>619</v>
      </c>
      <c r="G430" s="142" t="str">
        <f>IF(D430="","*",VLOOKUP(F430,BS_ATIVIDADE[],3,FALSE))</f>
        <v>EXPANSÃO</v>
      </c>
      <c r="H430" s="106" t="s">
        <v>558</v>
      </c>
      <c r="I430" s="106" t="s">
        <v>558</v>
      </c>
      <c r="J430" s="105">
        <v>30</v>
      </c>
      <c r="K430" s="105">
        <v>111.5</v>
      </c>
      <c r="L430" s="105">
        <v>112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0" s="127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430" s="106">
        <v>0.41666666666666669</v>
      </c>
      <c r="P430" s="106">
        <v>6.25E-2</v>
      </c>
      <c r="Q430" s="105">
        <v>1</v>
      </c>
      <c r="R430" s="10" t="str">
        <f>IFERROR(_xlfn.XLOOKUP(F430, BS_ATIVIDADE[ATIVIDADE],BS_ATIVIDADE[UNIDADE] ), "*")</f>
        <v>Nº DE SOLDA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0" s="105" t="s">
        <v>1047</v>
      </c>
      <c r="W430" s="151" t="s">
        <v>1025</v>
      </c>
      <c r="X430" s="104" t="s">
        <v>386</v>
      </c>
      <c r="Y430" s="129"/>
      <c r="Z430" s="104"/>
      <c r="AA430" s="105" t="s">
        <v>558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EXPANSÃO - SOLDA</v>
      </c>
      <c r="AJ430" s="9" t="str">
        <f>IF(BS_CONTROLE[[#This Row],[Atividade]]=0, "-", BS_CONTROLE[[#This Row],[Atividade]])</f>
        <v>EXPANSÃO - SOLDA</v>
      </c>
      <c r="AK430" s="31" t="str">
        <f>BS_CONTROLE[[#This Row],[Local - Partida]]</f>
        <v>-</v>
      </c>
      <c r="AL430" s="31" t="str">
        <f>BS_CONTROLE[[#This Row],[Local - Encerramento]]</f>
        <v>-</v>
      </c>
      <c r="AM430" s="105" t="str">
        <f>IF(BS_CONTROLE[[#This Row],[Entre - Estações]]=0, "-", BS_CONTROLE[[#This Row],[Entre - Estações]])</f>
        <v>ZGM-109</v>
      </c>
      <c r="AN430" s="105">
        <f>IF(BS_CONTROLE[[#This Row],[SB]]=0, "-", BS_CONTROLE[[#This Row],[SB]])</f>
        <v>1121111</v>
      </c>
      <c r="AO430" s="105">
        <f>IF(BS_CONTROLE[[#This Row],[SUB]]=0, "-", BS_CONTROLE[[#This Row],[SUB]])</f>
        <v>30</v>
      </c>
      <c r="AP430" s="105">
        <f>BS_CONTROLE[[#This Row],[KM - Inicio]]</f>
        <v>111.5</v>
      </c>
      <c r="AQ430" s="105">
        <f>BS_CONTROLE[[#This Row],[KM - Inicio]]</f>
        <v>111.5</v>
      </c>
      <c r="AR430" s="108"/>
      <c r="AS430" s="108"/>
      <c r="AT430" s="108"/>
      <c r="AU430" s="136"/>
      <c r="AV430" s="136"/>
      <c r="AW430" s="14"/>
      <c r="AX430" s="14"/>
      <c r="AY430" s="164">
        <f>IF(D430="","*",IFERROR(IF(ISODD(COUNT(AS430:AX430)),"ERRO",SUM((AT430-AS430),(AV430-AU430),(AX430-AW430))),"ERRO"))</f>
        <v>0</v>
      </c>
      <c r="AZ430" s="153"/>
      <c r="BA430" s="109"/>
      <c r="BB430" s="10" t="str">
        <f>IFERROR(_xlfn.XLOOKUP(AI430, BS_ATIVIDADE[ATIVIDADE],BS_ATIVIDADE[UNIDADE] ), "*")</f>
        <v>Nº DE SOLDA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Produção e Intervalo</v>
      </c>
      <c r="BR430" s="19">
        <f>IF(OR(B430="",F430=""),"*",AY430/P430)</f>
        <v>0</v>
      </c>
      <c r="BS430" s="19">
        <f>IF(OR(B430="",F430=""),"*",BA430/Q430)</f>
        <v>0</v>
      </c>
      <c r="BT430" s="8" t="str">
        <f t="shared" si="9"/>
        <v/>
      </c>
    </row>
    <row r="431" spans="1:72" hidden="1">
      <c r="A431" s="47" t="str">
        <f>D431&amp;B431</f>
        <v>LEANDRO (TP-727)46094</v>
      </c>
      <c r="B431" s="102">
        <v>46094</v>
      </c>
      <c r="C431" s="135">
        <f>IF(BS_CONTROLE[[#This Row],[DATA]]="","",WEEKNUM(BS_CONTROLE[[#This Row],[DATA]]))</f>
        <v>11</v>
      </c>
      <c r="D431" s="104" t="s">
        <v>878</v>
      </c>
      <c r="E431" s="159">
        <v>425</v>
      </c>
      <c r="F431" s="126" t="s">
        <v>744</v>
      </c>
      <c r="G431" s="142" t="str">
        <f>IF(D431="","*",VLOOKUP(F431,BS_ATIVIDADE[],3,FALSE))</f>
        <v>DORMENTE - SUBSTITUIÇÂO</v>
      </c>
      <c r="H431" s="106" t="s">
        <v>558</v>
      </c>
      <c r="I431" s="106" t="s">
        <v>558</v>
      </c>
      <c r="J431" s="105">
        <v>30</v>
      </c>
      <c r="K431" s="105">
        <v>113</v>
      </c>
      <c r="L431" s="105" t="s">
        <v>558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31" s="127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431" s="106">
        <v>0.41666666666666669</v>
      </c>
      <c r="P431" s="106">
        <v>8.3333333333333329E-2</v>
      </c>
      <c r="Q431" s="105">
        <v>30</v>
      </c>
      <c r="R431" s="10" t="str">
        <f>IFERROR(_xlfn.XLOOKUP(F431, BS_ATIVIDADE[ATIVIDADE],BS_ATIVIDADE[UNIDADE] ), "*")</f>
        <v>Nº DE DORMENTES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431" s="105" t="s">
        <v>1029</v>
      </c>
      <c r="W431" s="151" t="s">
        <v>1554</v>
      </c>
      <c r="X431" s="104" t="s">
        <v>381</v>
      </c>
      <c r="Y431" s="129"/>
      <c r="Z431" s="104"/>
      <c r="AA431" s="105" t="s">
        <v>558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PDM - SUBSTITUIÇÃO - DORMENTE</v>
      </c>
      <c r="AJ431" s="9" t="str">
        <f>IF(BS_CONTROLE[[#This Row],[Atividade]]=0, "-", BS_CONTROLE[[#This Row],[Atividade]])</f>
        <v>PDM - SUBSTITUIÇÃO - DORMENTE</v>
      </c>
      <c r="AK431" s="31" t="str">
        <f>BS_CONTROLE[[#This Row],[Local - Partida]]</f>
        <v>-</v>
      </c>
      <c r="AL431" s="31" t="str">
        <f>BS_CONTROLE[[#This Row],[Local - Encerramento]]</f>
        <v>-</v>
      </c>
      <c r="AM431" s="105" t="str">
        <f>IF(BS_CONTROLE[[#This Row],[Entre - Estações]]=0, "-", BS_CONTROLE[[#This Row],[Entre - Estações]])</f>
        <v>ZGM-109</v>
      </c>
      <c r="AN431" s="105">
        <f>IF(BS_CONTROLE[[#This Row],[SB]]=0, "-", BS_CONTROLE[[#This Row],[SB]])</f>
        <v>1131121</v>
      </c>
      <c r="AO431" s="105">
        <f>IF(BS_CONTROLE[[#This Row],[SUB]]=0, "-", BS_CONTROLE[[#This Row],[SUB]])</f>
        <v>30</v>
      </c>
      <c r="AP431" s="105">
        <f>BS_CONTROLE[[#This Row],[KM - Inicio]]</f>
        <v>113</v>
      </c>
      <c r="AQ431" s="105">
        <f>BS_CONTROLE[[#This Row],[KM - Inicio]]</f>
        <v>113</v>
      </c>
      <c r="AR431" s="108"/>
      <c r="AS431" s="108"/>
      <c r="AT431" s="108"/>
      <c r="AU431" s="136"/>
      <c r="AV431" s="136"/>
      <c r="AW431" s="14"/>
      <c r="AX431" s="14"/>
      <c r="AY431" s="164">
        <f>IF(D431="","*",IFERROR(IF(ISODD(COUNT(AS431:AX431)),"ERRO",SUM((AT431-AS431),(AV431-AU431),(AX431-AW431))),"ERRO"))</f>
        <v>0</v>
      </c>
      <c r="AZ431" s="153"/>
      <c r="BA431" s="109"/>
      <c r="BB431" s="10" t="str">
        <f>IFERROR(_xlfn.XLOOKUP(AI431, BS_ATIVIDADE[ATIVIDADE],BS_ATIVIDADE[UNIDADE] ), "*")</f>
        <v>Nº DE DORMENTES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Produção e Intervalo</v>
      </c>
      <c r="BR431" s="19">
        <f>IF(OR(B431="",F431=""),"*",AY431/P431)</f>
        <v>0</v>
      </c>
      <c r="BS431" s="19">
        <f>IF(OR(B431="",F431=""),"*",BA431/Q431)</f>
        <v>0</v>
      </c>
      <c r="BT431" s="8" t="str">
        <f t="shared" si="9"/>
        <v/>
      </c>
    </row>
    <row r="432" spans="1:72" hidden="1">
      <c r="A432" s="47" t="str">
        <f>D432&amp;B432</f>
        <v>RAFAEL (TP-695)46094</v>
      </c>
      <c r="B432" s="102">
        <v>46094</v>
      </c>
      <c r="C432" s="135">
        <f>IF(BS_CONTROLE[[#This Row],[DATA]]="","",WEEKNUM(BS_CONTROLE[[#This Row],[DATA]]))</f>
        <v>11</v>
      </c>
      <c r="D432" s="104" t="s">
        <v>892</v>
      </c>
      <c r="E432" s="159">
        <v>426</v>
      </c>
      <c r="F432" s="126" t="s">
        <v>714</v>
      </c>
      <c r="G432" s="142" t="str">
        <f>IF(D432="","*",VLOOKUP(F432,BS_ATIVIDADE[],3,FALSE))</f>
        <v>AMV</v>
      </c>
      <c r="H432" s="106" t="s">
        <v>558</v>
      </c>
      <c r="I432" s="106" t="s">
        <v>558</v>
      </c>
      <c r="J432" s="105">
        <v>53</v>
      </c>
      <c r="K432" s="105">
        <v>122.7</v>
      </c>
      <c r="L432" s="105">
        <v>122.6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432" s="106">
        <v>0.375</v>
      </c>
      <c r="P432" s="106">
        <v>0.125</v>
      </c>
      <c r="Q432" s="105">
        <v>1</v>
      </c>
      <c r="R432" s="10" t="str">
        <f>IFERROR(_xlfn.XLOOKUP(F432, BS_ATIVIDADE[ATIVIDADE],BS_ATIVIDADE[UNIDADE] ), "*")</f>
        <v>Nº DE PEÇAS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1029</v>
      </c>
      <c r="W432" s="151" t="s">
        <v>1088</v>
      </c>
      <c r="X432" s="104" t="s">
        <v>386</v>
      </c>
      <c r="Y432" s="129"/>
      <c r="Z432" s="104"/>
      <c r="AA432" s="105" t="s">
        <v>558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PDM - AMV - JACARÉ</v>
      </c>
      <c r="AJ432" s="9" t="str">
        <f>IF(BS_CONTROLE[[#This Row],[Atividade]]=0, "-", BS_CONTROLE[[#This Row],[Atividade]])</f>
        <v>PDM - AMV - JACARÉ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ZPG-ZZV</v>
      </c>
      <c r="AN432" s="105" t="str">
        <f>IF(BS_CONTROLE[[#This Row],[SB]]=0, "-", BS_CONTROLE[[#This Row],[SB]])</f>
        <v>ZPGZZV</v>
      </c>
      <c r="AO432" s="105">
        <f>IF(BS_CONTROLE[[#This Row],[SUB]]=0, "-", BS_CONTROLE[[#This Row],[SUB]])</f>
        <v>53</v>
      </c>
      <c r="AP432" s="105">
        <f>BS_CONTROLE[[#This Row],[KM - Inicio]]</f>
        <v>122.7</v>
      </c>
      <c r="AQ432" s="105">
        <f>BS_CONTROLE[[#This Row],[KM - Inicio]]</f>
        <v>122.7</v>
      </c>
      <c r="AR432" s="108"/>
      <c r="AS432" s="108"/>
      <c r="AT432" s="108"/>
      <c r="AU432" s="136"/>
      <c r="AV432" s="136"/>
      <c r="AW432" s="14"/>
      <c r="AX432" s="14"/>
      <c r="AY432" s="164">
        <f>IF(D432="","*",IFERROR(IF(ISODD(COUNT(AS432:AX432)),"ERRO",SUM((AT432-AS432),(AV432-AU432),(AX432-AW432))),"ERRO"))</f>
        <v>0</v>
      </c>
      <c r="AZ432" s="153"/>
      <c r="BA432" s="109"/>
      <c r="BB432" s="10" t="str">
        <f>IFERROR(_xlfn.XLOOKUP(AI432, BS_ATIVIDADE[ATIVIDADE],BS_ATIVIDADE[UNIDADE] ), "*")</f>
        <v>Nº DE PEÇAS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Produção e Intervalo</v>
      </c>
      <c r="BR432" s="19">
        <f>IF(OR(B432="",F432=""),"*",AY432/P432)</f>
        <v>0</v>
      </c>
      <c r="BS432" s="19">
        <f>IF(OR(B432="",F432=""),"*",BA432/Q432)</f>
        <v>0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1555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70" operator="equal">
      <formula>"NÃO"</formula>
    </cfRule>
    <cfRule type="cellIs" dxfId="220" priority="11871" operator="equal">
      <formula>"SIM"</formula>
    </cfRule>
  </conditionalFormatting>
  <conditionalFormatting sqref="AZ6:AZ1001">
    <cfRule type="expression" dxfId="219" priority="54326">
      <formula>#REF!=1</formula>
    </cfRule>
  </conditionalFormatting>
  <conditionalFormatting sqref="BE6:BE1001 AY6:AY1001 U6:U1001">
    <cfRule type="cellIs" dxfId="218" priority="54310" operator="equal">
      <formula>"ERRO"</formula>
    </cfRule>
  </conditionalFormatting>
  <conditionalFormatting sqref="BQ6:BQ1001">
    <cfRule type="cellIs" dxfId="217" priority="54305" operator="equal">
      <formula>"Produção e Intervalo"</formula>
    </cfRule>
    <cfRule type="cellIs" dxfId="216" priority="54306" operator="equal">
      <formula>"Aderente"</formula>
    </cfRule>
    <cfRule type="cellIs" dxfId="215" priority="54307" operator="equal">
      <formula>"Intervalo"</formula>
    </cfRule>
    <cfRule type="cellIs" dxfId="214" priority="54308" operator="equal">
      <formula>"Produção"</formula>
    </cfRule>
    <cfRule type="cellIs" dxfId="213" priority="54309" operator="equal">
      <formula>"ERRO"</formula>
    </cfRule>
  </conditionalFormatting>
  <conditionalFormatting sqref="BR6:BS1001">
    <cfRule type="cellIs" dxfId="212" priority="54287" operator="equal">
      <formula>"*"</formula>
    </cfRule>
    <cfRule type="cellIs" dxfId="211" priority="54288" operator="greaterThanOrEqual">
      <formula>1</formula>
    </cfRule>
    <cfRule type="cellIs" dxfId="210" priority="54289" operator="lessThan">
      <formula>1</formula>
    </cfRule>
  </conditionalFormatting>
  <conditionalFormatting sqref="BK949 BK81 BK83:BK84 BK101 BK67 BK69 BK72:BK73 BJ9:BJ366 BJ368:BJ1001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89:BK392 BK374:BK375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13" operator="equal">
      <formula>"OPORTUNIDADE"</formula>
    </cfRule>
  </conditionalFormatting>
  <conditionalFormatting sqref="Y6:Z39">
    <cfRule type="cellIs" dxfId="208" priority="411" operator="equal">
      <formula>"NÃO"</formula>
    </cfRule>
    <cfRule type="cellIs" dxfId="207" priority="412" operator="equal">
      <formula>"SIM"</formula>
    </cfRule>
  </conditionalFormatting>
  <conditionalFormatting sqref="BH6:BH8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81" operator="equal">
      <formula>"OPORTUNIDADE"</formula>
    </cfRule>
  </conditionalFormatting>
  <conditionalFormatting sqref="Y44:Z44">
    <cfRule type="cellIs" dxfId="205" priority="379" operator="equal">
      <formula>"NÃO"</formula>
    </cfRule>
    <cfRule type="cellIs" dxfId="204" priority="380" operator="equal">
      <formula>"SIM"</formula>
    </cfRule>
  </conditionalFormatting>
  <conditionalFormatting sqref="Y48:Z52">
    <cfRule type="cellIs" dxfId="203" priority="378" operator="equal">
      <formula>"OPORTUNIDADE"</formula>
    </cfRule>
  </conditionalFormatting>
  <conditionalFormatting sqref="Y48:Z52">
    <cfRule type="cellIs" dxfId="202" priority="376" operator="equal">
      <formula>"NÃO"</formula>
    </cfRule>
    <cfRule type="cellIs" dxfId="201" priority="377" operator="equal">
      <formula>"SIM"</formula>
    </cfRule>
  </conditionalFormatting>
  <conditionalFormatting sqref="Y68:Z68">
    <cfRule type="cellIs" dxfId="200" priority="372" operator="equal">
      <formula>"OPORTUNIDADE"</formula>
    </cfRule>
  </conditionalFormatting>
  <conditionalFormatting sqref="Y68:Z68">
    <cfRule type="cellIs" dxfId="199" priority="370" operator="equal">
      <formula>"NÃO"</formula>
    </cfRule>
    <cfRule type="cellIs" dxfId="198" priority="371" operator="equal">
      <formula>"SIM"</formula>
    </cfRule>
  </conditionalFormatting>
  <conditionalFormatting sqref="Y75:Z75">
    <cfRule type="cellIs" dxfId="197" priority="369" operator="equal">
      <formula>"OPORTUNIDADE"</formula>
    </cfRule>
  </conditionalFormatting>
  <conditionalFormatting sqref="Y75:Z75">
    <cfRule type="cellIs" dxfId="196" priority="367" operator="equal">
      <formula>"NÃO"</formula>
    </cfRule>
    <cfRule type="cellIs" dxfId="195" priority="368" operator="equal">
      <formula>"SIM"</formula>
    </cfRule>
  </conditionalFormatting>
  <conditionalFormatting sqref="Y77:Z78">
    <cfRule type="cellIs" dxfId="194" priority="366" operator="equal">
      <formula>"OPORTUNIDADE"</formula>
    </cfRule>
  </conditionalFormatting>
  <conditionalFormatting sqref="Y77:Z78">
    <cfRule type="cellIs" dxfId="193" priority="364" operator="equal">
      <formula>"NÃO"</formula>
    </cfRule>
    <cfRule type="cellIs" dxfId="192" priority="365" operator="equal">
      <formula>"SIM"</formula>
    </cfRule>
  </conditionalFormatting>
  <conditionalFormatting sqref="Y81:Z81">
    <cfRule type="cellIs" dxfId="191" priority="363" operator="equal">
      <formula>"OPORTUNIDADE"</formula>
    </cfRule>
  </conditionalFormatting>
  <conditionalFormatting sqref="Y81:Z81">
    <cfRule type="cellIs" dxfId="190" priority="361" operator="equal">
      <formula>"NÃO"</formula>
    </cfRule>
    <cfRule type="cellIs" dxfId="189" priority="362" operator="equal">
      <formula>"SIM"</formula>
    </cfRule>
  </conditionalFormatting>
  <conditionalFormatting sqref="Y82:Z82">
    <cfRule type="cellIs" dxfId="188" priority="360" operator="equal">
      <formula>"OPORTUNIDADE"</formula>
    </cfRule>
  </conditionalFormatting>
  <conditionalFormatting sqref="Y82:Z82">
    <cfRule type="cellIs" dxfId="187" priority="358" operator="equal">
      <formula>"NÃO"</formula>
    </cfRule>
    <cfRule type="cellIs" dxfId="186" priority="359" operator="equal">
      <formula>"SIM"</formula>
    </cfRule>
  </conditionalFormatting>
  <conditionalFormatting sqref="Y91:Z91">
    <cfRule type="cellIs" dxfId="185" priority="357" operator="equal">
      <formula>"OPORTUNIDADE"</formula>
    </cfRule>
  </conditionalFormatting>
  <conditionalFormatting sqref="Y91:Z91">
    <cfRule type="cellIs" dxfId="184" priority="355" operator="equal">
      <formula>"NÃO"</formula>
    </cfRule>
    <cfRule type="cellIs" dxfId="183" priority="356" operator="equal">
      <formula>"SIM"</formula>
    </cfRule>
  </conditionalFormatting>
  <conditionalFormatting sqref="Y93:Z93">
    <cfRule type="cellIs" dxfId="182" priority="354" operator="equal">
      <formula>"OPORTUNIDADE"</formula>
    </cfRule>
  </conditionalFormatting>
  <conditionalFormatting sqref="Y93:Z93">
    <cfRule type="cellIs" dxfId="181" priority="352" operator="equal">
      <formula>"NÃO"</formula>
    </cfRule>
    <cfRule type="cellIs" dxfId="180" priority="353" operator="equal">
      <formula>"SIM"</formula>
    </cfRule>
  </conditionalFormatting>
  <conditionalFormatting sqref="Y95:Z95">
    <cfRule type="cellIs" dxfId="179" priority="351" operator="equal">
      <formula>"OPORTUNIDADE"</formula>
    </cfRule>
  </conditionalFormatting>
  <conditionalFormatting sqref="Y95:Z95">
    <cfRule type="cellIs" dxfId="178" priority="349" operator="equal">
      <formula>"NÃO"</formula>
    </cfRule>
    <cfRule type="cellIs" dxfId="177" priority="350" operator="equal">
      <formula>"SIM"</formula>
    </cfRule>
  </conditionalFormatting>
  <conditionalFormatting sqref="Y96:Z97">
    <cfRule type="cellIs" dxfId="176" priority="348" operator="equal">
      <formula>"OPORTUNIDADE"</formula>
    </cfRule>
  </conditionalFormatting>
  <conditionalFormatting sqref="Y96:Z97">
    <cfRule type="cellIs" dxfId="175" priority="346" operator="equal">
      <formula>"NÃO"</formula>
    </cfRule>
    <cfRule type="cellIs" dxfId="174" priority="347" operator="equal">
      <formula>"SIM"</formula>
    </cfRule>
  </conditionalFormatting>
  <conditionalFormatting sqref="BK95:BK9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7">
      <iconSet showValue="0">
        <cfvo type="percent" val="0"/>
        <cfvo type="num" val="1"/>
        <cfvo type="num" val="1" gte="0"/>
      </iconSet>
    </cfRule>
    <cfRule type="iconSet" priority="6117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90:BP392 BP374:BP375 BP371 BP368 BP377:BP385 BP397:BP1001 BP361:BP363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91" operator="equal">
      <formula>"OPORTUNIDADE"</formula>
    </cfRule>
  </conditionalFormatting>
  <conditionalFormatting sqref="Z173">
    <cfRule type="cellIs" dxfId="172" priority="289" operator="equal">
      <formula>"NÃO"</formula>
    </cfRule>
    <cfRule type="cellIs" dxfId="171" priority="290" operator="equal">
      <formula>"SIM"</formula>
    </cfRule>
  </conditionalFormatting>
  <conditionalFormatting sqref="BP1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8" operator="equal">
      <formula>"OPORTUNIDADE"</formula>
    </cfRule>
  </conditionalFormatting>
  <conditionalFormatting sqref="Z201">
    <cfRule type="cellIs" dxfId="169" priority="246" operator="equal">
      <formula>"NÃO"</formula>
    </cfRule>
    <cfRule type="cellIs" dxfId="168" priority="247" operator="equal">
      <formula>"SIM"</formula>
    </cfRule>
  </conditionalFormatting>
  <conditionalFormatting sqref="Z202">
    <cfRule type="cellIs" dxfId="167" priority="245" operator="equal">
      <formula>"OPORTUNIDADE"</formula>
    </cfRule>
  </conditionalFormatting>
  <conditionalFormatting sqref="Z202">
    <cfRule type="cellIs" dxfId="166" priority="243" operator="equal">
      <formula>"NÃO"</formula>
    </cfRule>
    <cfRule type="cellIs" dxfId="165" priority="244" operator="equal">
      <formula>"SIM"</formula>
    </cfRule>
  </conditionalFormatting>
  <conditionalFormatting sqref="BP1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7" operator="equal">
      <formula>"OPORTUNIDADE"</formula>
    </cfRule>
  </conditionalFormatting>
  <conditionalFormatting sqref="Y201">
    <cfRule type="cellIs" dxfId="163" priority="235" operator="equal">
      <formula>"NÃO"</formula>
    </cfRule>
    <cfRule type="cellIs" dxfId="162" priority="236" operator="equal">
      <formula>"SIM"</formula>
    </cfRule>
  </conditionalFormatting>
  <conditionalFormatting sqref="BK1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5" operator="equal">
      <formula>"OPORTUNIDADE"</formula>
    </cfRule>
  </conditionalFormatting>
  <conditionalFormatting sqref="Z245">
    <cfRule type="cellIs" dxfId="160" priority="213" operator="equal">
      <formula>"NÃO"</formula>
    </cfRule>
    <cfRule type="cellIs" dxfId="159" priority="214" operator="equal">
      <formula>"SIM"</formula>
    </cfRule>
  </conditionalFormatting>
  <conditionalFormatting sqref="BP18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9" operator="equal">
      <formula>"OPORTUNIDADE"</formula>
    </cfRule>
  </conditionalFormatting>
  <conditionalFormatting sqref="Z285">
    <cfRule type="cellIs" dxfId="157" priority="187" operator="equal">
      <formula>"NÃO"</formula>
    </cfRule>
    <cfRule type="cellIs" dxfId="156" priority="188" operator="equal">
      <formula>"SIM"</formula>
    </cfRule>
  </conditionalFormatting>
  <conditionalFormatting sqref="Z286">
    <cfRule type="cellIs" dxfId="155" priority="186" operator="equal">
      <formula>"OPORTUNIDADE"</formula>
    </cfRule>
  </conditionalFormatting>
  <conditionalFormatting sqref="Z286">
    <cfRule type="cellIs" dxfId="154" priority="184" operator="equal">
      <formula>"NÃO"</formula>
    </cfRule>
    <cfRule type="cellIs" dxfId="153" priority="185" operator="equal">
      <formula>"SIM"</formula>
    </cfRule>
  </conditionalFormatting>
  <conditionalFormatting sqref="BK2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1557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1558</v>
      </c>
      <c r="C4" s="160" t="s">
        <v>1559</v>
      </c>
      <c r="D4" s="160" t="s">
        <v>1560</v>
      </c>
      <c r="E4" s="160" t="s">
        <v>1561</v>
      </c>
      <c r="F4" s="160" t="s">
        <v>4</v>
      </c>
      <c r="G4" s="160" t="s">
        <v>1562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1563</v>
      </c>
      <c r="C6" s="161">
        <v>407867</v>
      </c>
      <c r="D6" s="161" t="s">
        <v>1564</v>
      </c>
      <c r="E6" s="161" t="s">
        <v>789</v>
      </c>
      <c r="F6" s="161" t="s">
        <v>1565</v>
      </c>
      <c r="G6" s="162"/>
    </row>
    <row r="7" spans="2:7">
      <c r="B7" s="161" t="s">
        <v>1566</v>
      </c>
      <c r="C7" s="161">
        <v>293644</v>
      </c>
      <c r="D7" s="161" t="s">
        <v>1567</v>
      </c>
      <c r="E7" s="161" t="s">
        <v>789</v>
      </c>
      <c r="F7" s="161" t="s">
        <v>1565</v>
      </c>
      <c r="G7" s="162"/>
    </row>
    <row r="8" spans="2:7">
      <c r="B8" s="161" t="s">
        <v>1568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1569</v>
      </c>
      <c r="C9" s="161">
        <v>256790</v>
      </c>
      <c r="D9" s="161" t="s">
        <v>1570</v>
      </c>
      <c r="E9" s="161" t="s">
        <v>790</v>
      </c>
      <c r="F9" s="161" t="s">
        <v>1571</v>
      </c>
      <c r="G9" s="162">
        <v>46357</v>
      </c>
    </row>
    <row r="10" spans="2:7">
      <c r="B10" s="161" t="s">
        <v>1572</v>
      </c>
      <c r="C10" s="161">
        <v>265193</v>
      </c>
      <c r="D10" s="161" t="s">
        <v>1573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1574</v>
      </c>
      <c r="C11" s="161">
        <v>293716</v>
      </c>
      <c r="D11" s="161" t="s">
        <v>1575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1576</v>
      </c>
      <c r="C12" s="161">
        <v>257258</v>
      </c>
      <c r="D12" s="161" t="s">
        <v>1577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1578</v>
      </c>
      <c r="C13" s="161">
        <v>371147</v>
      </c>
      <c r="D13" s="161" t="s">
        <v>1579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1580</v>
      </c>
      <c r="C14" s="161">
        <v>259230</v>
      </c>
      <c r="D14" s="161" t="s">
        <v>1581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1582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1583</v>
      </c>
      <c r="C16" s="161">
        <v>258542</v>
      </c>
      <c r="D16" s="161" t="s">
        <v>1584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1585</v>
      </c>
      <c r="C17" s="161">
        <v>257050</v>
      </c>
      <c r="D17" s="161" t="s">
        <v>1586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1587</v>
      </c>
      <c r="C2" s="121" t="s">
        <v>946</v>
      </c>
      <c r="D2" s="76" t="s">
        <v>948</v>
      </c>
      <c r="E2" s="76" t="s">
        <v>1588</v>
      </c>
      <c r="F2" s="99" t="s">
        <v>1589</v>
      </c>
      <c r="G2" s="76" t="s">
        <v>1590</v>
      </c>
      <c r="H2" s="76" t="s">
        <v>1591</v>
      </c>
      <c r="I2" s="76" t="s">
        <v>1592</v>
      </c>
      <c r="J2" s="76" t="s">
        <v>1593</v>
      </c>
      <c r="K2" s="78" t="s">
        <v>1594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>
        <f>IF(SP_SUL!B426="","*",SP_SUL!B426)</f>
        <v>46094</v>
      </c>
      <c r="D422" s="94" t="str">
        <f>IF(SP_SUL!D426="","*",SP_SUL!D426)</f>
        <v>W62</v>
      </c>
      <c r="E422" s="94" t="str">
        <f>IF(SP_SUL!H426="","*",SP_SUL!H426)</f>
        <v>ZPT105-1</v>
      </c>
      <c r="F422" s="100" t="str">
        <f>IF(SP_SUL!M426="","*",SP_SUL!M426)</f>
        <v>ZPT-ZXW</v>
      </c>
      <c r="G422" s="95" t="str">
        <f>IF(SP_SUL!I426="","*",SP_SUL!I426)</f>
        <v>ZDRZPT</v>
      </c>
      <c r="H422" s="95" t="str">
        <f>IF(SP_SUL!AB426="","*",SP_SUL!AB426)</f>
        <v>FIXO</v>
      </c>
      <c r="I422" s="95" t="str">
        <f>IF(SP_SUL!AC426="","*",SP_SUL!AC426)</f>
        <v>ACIONAMENTO</v>
      </c>
      <c r="J422" s="96">
        <f>IF(SP_SUL!AA426="","*",SP_SUL!AA426)</f>
        <v>1</v>
      </c>
      <c r="K422" s="97">
        <f>IF(SP_SUL!AD426="","*",SP_SUL!AD426)</f>
        <v>0.3125</v>
      </c>
    </row>
    <row r="423" spans="2:11" hidden="1">
      <c r="B423" s="94" t="str">
        <f>IF(SP_SUL!Y427="","*",SP_SUL!Y427)</f>
        <v>*</v>
      </c>
      <c r="C423" s="95">
        <f>IF(SP_SUL!B427="","*",SP_SUL!B427)</f>
        <v>46094</v>
      </c>
      <c r="D423" s="94" t="str">
        <f>IF(SP_SUL!D427="","*",SP_SUL!D427)</f>
        <v>MOD ZGP</v>
      </c>
      <c r="E423" s="94" t="str">
        <f>IF(SP_SUL!H427="","*",SP_SUL!H427)</f>
        <v>-</v>
      </c>
      <c r="F423" s="100" t="str">
        <f>IF(SP_SUL!M427="","*",SP_SUL!M427)</f>
        <v>ZGP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46094</v>
      </c>
      <c r="D424" s="94" t="str">
        <f>IF(SP_SUL!D428="","*",SP_SUL!D428)</f>
        <v>V85</v>
      </c>
      <c r="E424" s="94" t="str">
        <f>IF(SP_SUL!H428="","*",SP_SUL!H428)</f>
        <v>ZDRZPT</v>
      </c>
      <c r="F424" s="100" t="str">
        <f>IF(SP_SUL!M428="","*",SP_SUL!M428)</f>
        <v>ZGP</v>
      </c>
      <c r="G424" s="95" t="str">
        <f>IF(SP_SUL!I428="","*",SP_SUL!I428)</f>
        <v>ZDRZPT</v>
      </c>
      <c r="H424" s="95" t="str">
        <f>IF(SP_SUL!AB428="","*",SP_SUL!AB428)</f>
        <v>FIXO</v>
      </c>
      <c r="I424" s="95" t="str">
        <f>IF(SP_SUL!AC428="","*",SP_SUL!AC428)</f>
        <v>ACIONAMENTO</v>
      </c>
      <c r="J424" s="96">
        <f>IF(SP_SUL!AA428="","*",SP_SUL!AA428)</f>
        <v>1</v>
      </c>
      <c r="K424" s="97">
        <f>IF(SP_SUL!AD428="","*",SP_SUL!AD428)</f>
        <v>0.3125</v>
      </c>
    </row>
    <row r="425" spans="2:11" hidden="1">
      <c r="B425" s="94" t="str">
        <f>IF(SP_SUL!Y429="","*",SP_SUL!Y429)</f>
        <v>*</v>
      </c>
      <c r="C425" s="95">
        <f>IF(SP_SUL!B429="","*",SP_SUL!B429)</f>
        <v>46094</v>
      </c>
      <c r="D425" s="94" t="str">
        <f>IF(SP_SUL!D429="","*",SP_SUL!D429)</f>
        <v>HUELTON (TP-725)</v>
      </c>
      <c r="E425" s="94" t="str">
        <f>IF(SP_SUL!H429="","*",SP_SUL!H429)</f>
        <v>-</v>
      </c>
      <c r="F425" s="100" t="str">
        <f>IF(SP_SUL!M429="","*",SP_SUL!M429)</f>
        <v>ZPT</v>
      </c>
      <c r="G425" s="95" t="str">
        <f>IF(SP_SUL!I429="","*",SP_SUL!I429)</f>
        <v>-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-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>
        <f>IF(SP_SUL!B430="","*",SP_SUL!B430)</f>
        <v>46094</v>
      </c>
      <c r="D426" s="94" t="str">
        <f>IF(SP_SUL!D430="","*",SP_SUL!D430)</f>
        <v>EXPANSÃO TURMA 1</v>
      </c>
      <c r="E426" s="94" t="str">
        <f>IF(SP_SUL!H430="","*",SP_SUL!H430)</f>
        <v>-</v>
      </c>
      <c r="F426" s="100" t="str">
        <f>IF(SP_SUL!M430="","*",SP_SUL!M430)</f>
        <v>ZGM-109</v>
      </c>
      <c r="G426" s="95" t="str">
        <f>IF(SP_SUL!I430="","*",SP_SUL!I430)</f>
        <v>-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46094</v>
      </c>
      <c r="D427" s="94" t="str">
        <f>IF(SP_SUL!D431="","*",SP_SUL!D431)</f>
        <v>LEANDRO (TP-727)</v>
      </c>
      <c r="E427" s="94" t="str">
        <f>IF(SP_SUL!H431="","*",SP_SUL!H431)</f>
        <v>-</v>
      </c>
      <c r="F427" s="100" t="str">
        <f>IF(SP_SUL!M431="","*",SP_SUL!M431)</f>
        <v>ZGM-109</v>
      </c>
      <c r="G427" s="95" t="str">
        <f>IF(SP_SUL!I431="","*",SP_SUL!I431)</f>
        <v>-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46094</v>
      </c>
      <c r="D428" s="94" t="str">
        <f>IF(SP_SUL!D432="","*",SP_SUL!D432)</f>
        <v>RAFAEL (TP-695)</v>
      </c>
      <c r="E428" s="94" t="str">
        <f>IF(SP_SUL!H432="","*",SP_SUL!H432)</f>
        <v>-</v>
      </c>
      <c r="F428" s="100" t="str">
        <f>IF(SP_SUL!M432="","*",SP_SUL!M432)</f>
        <v>ZPG-ZZV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1595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1596</v>
      </c>
      <c r="D4" s="163" t="s">
        <v>1597</v>
      </c>
      <c r="E4" s="163" t="s">
        <v>1598</v>
      </c>
      <c r="F4" s="160" t="s">
        <v>1599</v>
      </c>
      <c r="G4" s="163" t="s">
        <v>1600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1601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1602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1601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1603</v>
      </c>
      <c r="G9" s="167" t="s">
        <v>1604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1601</v>
      </c>
      <c r="G10" s="167"/>
    </row>
    <row r="11" spans="2:7" hidden="1">
      <c r="B11" s="191" t="s">
        <v>1605</v>
      </c>
      <c r="C11" s="191">
        <v>9038</v>
      </c>
      <c r="D11" s="192">
        <v>46085</v>
      </c>
      <c r="E11" s="191">
        <v>10520</v>
      </c>
      <c r="F11" s="193" t="s">
        <v>1606</v>
      </c>
      <c r="G11" s="191"/>
    </row>
    <row r="12" spans="2:7">
      <c r="B12" s="167" t="s">
        <v>1605</v>
      </c>
      <c r="C12" s="167">
        <v>9059</v>
      </c>
      <c r="D12" s="168">
        <v>46091</v>
      </c>
      <c r="E12" s="167">
        <v>15600</v>
      </c>
      <c r="F12" s="169" t="s">
        <v>1601</v>
      </c>
      <c r="G12" s="167" t="s">
        <v>1607</v>
      </c>
    </row>
    <row r="13" spans="2:7">
      <c r="B13" s="167" t="s">
        <v>709</v>
      </c>
      <c r="C13" s="167" t="s">
        <v>1608</v>
      </c>
      <c r="D13" s="168">
        <v>46086</v>
      </c>
      <c r="E13" s="167">
        <v>8.5</v>
      </c>
      <c r="F13" s="169" t="s">
        <v>1609</v>
      </c>
      <c r="G13" s="167"/>
    </row>
    <row r="14" spans="2:7">
      <c r="B14" s="167" t="s">
        <v>709</v>
      </c>
      <c r="C14" s="167" t="s">
        <v>1610</v>
      </c>
      <c r="D14" s="168">
        <v>46086</v>
      </c>
      <c r="E14" s="167">
        <v>10000</v>
      </c>
      <c r="F14" s="169" t="s">
        <v>1609</v>
      </c>
      <c r="G14" s="167"/>
    </row>
    <row r="15" spans="2:7">
      <c r="B15" s="167" t="s">
        <v>709</v>
      </c>
      <c r="C15" s="167" t="s">
        <v>1611</v>
      </c>
      <c r="D15" s="168">
        <v>46086</v>
      </c>
      <c r="E15" s="167">
        <v>8000</v>
      </c>
      <c r="F15" s="169" t="s">
        <v>1609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1612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1613</v>
      </c>
      <c r="D5" s="230"/>
      <c r="E5" s="230"/>
      <c r="F5" s="230"/>
      <c r="G5" s="230"/>
      <c r="H5" s="230"/>
      <c r="I5" s="230"/>
      <c r="J5" s="231"/>
      <c r="K5" s="232" t="s">
        <v>1614</v>
      </c>
      <c r="L5" s="233"/>
      <c r="M5" s="233"/>
      <c r="N5" s="233"/>
      <c r="O5" s="234" t="s">
        <v>1615</v>
      </c>
      <c r="P5" s="235"/>
    </row>
    <row r="6" spans="1:16" s="74" customFormat="1" ht="15" customHeight="1">
      <c r="A6" s="66" t="s">
        <v>1616</v>
      </c>
      <c r="B6" s="75" t="s">
        <v>1617</v>
      </c>
      <c r="C6" s="76" t="s">
        <v>961</v>
      </c>
      <c r="D6" s="77" t="s">
        <v>962</v>
      </c>
      <c r="E6" s="76" t="s">
        <v>1618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1619</v>
      </c>
      <c r="M6" s="80" t="s">
        <v>576</v>
      </c>
      <c r="N6" s="81" t="s">
        <v>956</v>
      </c>
      <c r="O6" s="158" t="s">
        <v>999</v>
      </c>
      <c r="P6" s="133" t="s">
        <v>1620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6.25E-2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2</v>
      </c>
      <c r="P361" s="147" t="str">
        <f>IF($A$2=1,IF(SP_SUL!BJ361="","*",SP_SUL!BJ361),IF(SP_SUL!BK361="","*",SP_SUL!BK361))</f>
        <v>Concedido intervalo das 11h08 até 12h38, intervalo entregue as 13h05, devido local de trabalho com dificuldades de operação + chuva.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2</v>
      </c>
      <c r="P365" s="147" t="str">
        <f>IF($A$2=1,IF(SP_SUL!BJ365="","*",SP_SUL!BJ365),IF(SP_SUL!BK365="","*",SP_SUL!BK365))</f>
        <v>Tp pronto 10h39 / Realizado intervalo das 12h40 até 14h10 / Produção 7 dormentes substituidos e 18 metros de limpeza de lastro. (baixa produção, devido lastro contaminado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2</v>
      </c>
      <c r="P374" s="147" t="str">
        <f>IF($A$2=1,IF(SP_SUL!BJ374="","*",SP_SUL!BJ374),IF(SP_SUL!BK374="","*",SP_SUL!BK374))</f>
        <v>TP pronto 10h36 /  realizado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2</v>
      </c>
      <c r="P375" s="147" t="str">
        <f>IF($A$2=1,IF(SP_SUL!BJ375="","*",SP_SUL!BJ375),IF(SP_SUL!BK375="","*",SP_SUL!BK375))</f>
        <v>TP pronto 10h36 /  realizado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2</v>
      </c>
      <c r="P386" s="147" t="str">
        <f>IF($A$2=1,IF(SP_SUL!BJ386="","*",SP_SUL!BJ386),IF(SP_SUL!BK386="","*",SP_SUL!BK386))</f>
        <v>TP pronto 07h29 / Realizado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2</v>
      </c>
      <c r="P389" s="147" t="str">
        <f>IF($A$2=1,IF(SP_SUL!BJ389="","*",SP_SUL!BJ389),IF(SP_SUL!BK389="","*",SP_SUL!BK389))</f>
        <v xml:space="preserve">TP pronto 12h40 / Realizado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>
        <f>IF(SP_SUL!BH391="","*",SP_SUL!BH391)</f>
        <v>1</v>
      </c>
      <c r="P391" s="147" t="str">
        <f>IF($A$2=1,IF(SP_SUL!BJ391="","*",SP_SUL!BJ391),IF(SP_SUL!BK391="","*",SP_SUL!BK391))</f>
        <v>Em intervalo bloco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82.5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82.5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>
        <f>IF(SP_SUL!B426="","*",SP_SUL!B426)</f>
        <v>46094</v>
      </c>
      <c r="B426" s="83" t="str">
        <f>IF(SP_SUL!X426="","*",SP_SUL!X426)</f>
        <v>Oportunidade</v>
      </c>
      <c r="C426" s="83" t="str">
        <f>IF(SP_SUL!S426="","*",SP_SUL!S426)</f>
        <v>SP SUL</v>
      </c>
      <c r="D426" s="83" t="str">
        <f>IF(SP_SUL!T426="","*",SP_SUL!T426)</f>
        <v>ZEV-ZPT</v>
      </c>
      <c r="E426" s="83" t="str">
        <f>IF(SP_SUL!D426="","*",SP_SUL!D426)</f>
        <v>W62</v>
      </c>
      <c r="F426" s="83" t="str">
        <f>IF(SP_SUL!H426="","*",SP_SUL!H426)</f>
        <v>ZPT105-1</v>
      </c>
      <c r="G426" s="83" t="str">
        <f>IF(SP_SUL!M426="","*",SP_SUL!M426)</f>
        <v>ZPT-ZXW</v>
      </c>
      <c r="H426" s="116">
        <f>IF(SP_SUL!K426="","*",SP_SUL!K426)</f>
        <v>83.7</v>
      </c>
      <c r="I426" s="113">
        <f>IF(SP_SUL!O426="","*",SP_SUL!O426)</f>
        <v>0.33333333333333331</v>
      </c>
      <c r="J426" s="113">
        <f>IF(SP_SUL!P426="","*",SP_SUL!P426)</f>
        <v>4.1666666666666664E-2</v>
      </c>
      <c r="K426" s="83" t="str">
        <f>IF(SP_SUL!AK426="","*",SP_SUL!AK426)</f>
        <v>ZPT105-1</v>
      </c>
      <c r="L426" s="83" t="str">
        <f>IF(SP_SUL!AM426="","*",SP_SUL!AM426)</f>
        <v>ZPT-ZXW</v>
      </c>
      <c r="M426" s="83">
        <f>IF(SP_SUL!AP426="","*",SP_SUL!AP426)</f>
        <v>83.7</v>
      </c>
      <c r="N426" s="83" t="str">
        <f>IF(SP_SUL!AM426="","*",SP_SUL!AM426)</f>
        <v>ZPT-ZXW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>
        <f>IF(SP_SUL!B427="","*",SP_SUL!B427)</f>
        <v>46094</v>
      </c>
      <c r="B427" s="83" t="str">
        <f>IF(SP_SUL!X427="","*",SP_SUL!X427)</f>
        <v>Oportunidade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 ZGP</v>
      </c>
      <c r="F427" s="83" t="str">
        <f>IF(SP_SUL!H427="","*",SP_SUL!H427)</f>
        <v>-</v>
      </c>
      <c r="G427" s="83" t="str">
        <f>IF(SP_SUL!M427="","*",SP_SUL!M427)</f>
        <v>ZGP</v>
      </c>
      <c r="H427" s="116">
        <f>IF(SP_SUL!K427="","*",SP_SUL!K427)</f>
        <v>102</v>
      </c>
      <c r="I427" s="113">
        <f>IF(SP_SUL!O427="","*",SP_SUL!O427)</f>
        <v>0.47916666666666669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</v>
      </c>
      <c r="M427" s="83">
        <f>IF(SP_SUL!AP427="","*",SP_SUL!AP427)</f>
        <v>102</v>
      </c>
      <c r="N427" s="83" t="str">
        <f>IF(SP_SUL!AM427="","*",SP_SUL!AM427)</f>
        <v>ZGP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>
        <f>IF(SP_SUL!B428="","*",SP_SUL!B428)</f>
        <v>46094</v>
      </c>
      <c r="B428" s="83" t="str">
        <f>IF(SP_SUL!X428="","*",SP_SUL!X428)</f>
        <v>Oportunidade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V85</v>
      </c>
      <c r="F428" s="83" t="str">
        <f>IF(SP_SUL!H428="","*",SP_SUL!H428)</f>
        <v>ZDRZPT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0.41666666666666669</v>
      </c>
      <c r="J428" s="113">
        <f>IF(SP_SUL!P428="","*",SP_SUL!P428)</f>
        <v>0</v>
      </c>
      <c r="K428" s="83" t="str">
        <f>IF(SP_SUL!AK428="","*",SP_SUL!AK428)</f>
        <v>ZDRZPT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>
        <f>IF(SP_SUL!B429="","*",SP_SUL!B429)</f>
        <v>46094</v>
      </c>
      <c r="B429" s="83" t="str">
        <f>IF(SP_SUL!X429="","*",SP_SUL!X429)</f>
        <v>Oportunidade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HUELTON (TP-725)</v>
      </c>
      <c r="F429" s="83" t="str">
        <f>IF(SP_SUL!H429="","*",SP_SUL!H429)</f>
        <v>-</v>
      </c>
      <c r="G429" s="83" t="str">
        <f>IF(SP_SUL!M429="","*",SP_SUL!M429)</f>
        <v>ZPT</v>
      </c>
      <c r="H429" s="116">
        <f>IF(SP_SUL!K429="","*",SP_SUL!K429)</f>
        <v>106.8</v>
      </c>
      <c r="I429" s="113">
        <f>IF(SP_SUL!O429="","*",SP_SUL!O429)</f>
        <v>0.375</v>
      </c>
      <c r="J429" s="113">
        <f>IF(SP_SUL!P429="","*",SP_SUL!P429)</f>
        <v>0.125</v>
      </c>
      <c r="K429" s="83" t="str">
        <f>IF(SP_SUL!AK429="","*",SP_SUL!AK429)</f>
        <v>-</v>
      </c>
      <c r="L429" s="83" t="str">
        <f>IF(SP_SUL!AM429="","*",SP_SUL!AM429)</f>
        <v>ZPT</v>
      </c>
      <c r="M429" s="83">
        <f>IF(SP_SUL!AP429="","*",SP_SUL!AP429)</f>
        <v>106.8</v>
      </c>
      <c r="N429" s="83" t="str">
        <f>IF(SP_SUL!AM429="","*",SP_SUL!AM429)</f>
        <v>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>
        <f>IF(SP_SUL!B430="","*",SP_SUL!B430)</f>
        <v>46094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EXPANSÃO TURMA 1</v>
      </c>
      <c r="F430" s="83" t="str">
        <f>IF(SP_SUL!H430="","*",SP_SUL!H430)</f>
        <v>-</v>
      </c>
      <c r="G430" s="83" t="str">
        <f>IF(SP_SUL!M430="","*",SP_SUL!M430)</f>
        <v>ZGM-109</v>
      </c>
      <c r="H430" s="116">
        <f>IF(SP_SUL!K430="","*",SP_SUL!K430)</f>
        <v>111.5</v>
      </c>
      <c r="I430" s="113">
        <f>IF(SP_SUL!O430="","*",SP_SUL!O430)</f>
        <v>0.41666666666666669</v>
      </c>
      <c r="J430" s="113">
        <f>IF(SP_SUL!P430="","*",SP_SUL!P430)</f>
        <v>6.25E-2</v>
      </c>
      <c r="K430" s="83" t="str">
        <f>IF(SP_SUL!AK430="","*",SP_SUL!AK430)</f>
        <v>-</v>
      </c>
      <c r="L430" s="83" t="str">
        <f>IF(SP_SUL!AM430="","*",SP_SUL!AM430)</f>
        <v>ZGM-109</v>
      </c>
      <c r="M430" s="83">
        <f>IF(SP_SUL!AP430="","*",SP_SUL!AP430)</f>
        <v>111.5</v>
      </c>
      <c r="N430" s="83" t="str">
        <f>IF(SP_SUL!AM430="","*",SP_SUL!AM430)</f>
        <v>ZGM-109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>
        <f>IF(SP_SUL!B431="","*",SP_SUL!B431)</f>
        <v>46094</v>
      </c>
      <c r="B431" s="83" t="str">
        <f>IF(SP_SUL!X431="","*",SP_SUL!X431)</f>
        <v>Contrato</v>
      </c>
      <c r="C431" s="83" t="str">
        <f>IF(SP_SUL!S431="","*",SP_SUL!S431)</f>
        <v>SP SUL</v>
      </c>
      <c r="D431" s="83" t="str">
        <f>IF(SP_SUL!T431="","*",SP_SUL!T431)</f>
        <v>ZEV-ZPT</v>
      </c>
      <c r="E431" s="83" t="str">
        <f>IF(SP_SUL!D431="","*",SP_SUL!D431)</f>
        <v>LEANDRO (TP-727)</v>
      </c>
      <c r="F431" s="83" t="str">
        <f>IF(SP_SUL!H431="","*",SP_SUL!H431)</f>
        <v>-</v>
      </c>
      <c r="G431" s="83" t="str">
        <f>IF(SP_SUL!M431="","*",SP_SUL!M431)</f>
        <v>ZGM-109</v>
      </c>
      <c r="H431" s="116">
        <f>IF(SP_SUL!K431="","*",SP_SUL!K431)</f>
        <v>113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ZGM-109</v>
      </c>
      <c r="M431" s="83">
        <f>IF(SP_SUL!AP431="","*",SP_SUL!AP431)</f>
        <v>113</v>
      </c>
      <c r="N431" s="83" t="str">
        <f>IF(SP_SUL!AM431="","*",SP_SUL!AM431)</f>
        <v>ZGM-109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>
        <f>IF(SP_SUL!B432="","*",SP_SUL!B432)</f>
        <v>46094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RAFAEL (TP-695)</v>
      </c>
      <c r="F432" s="83" t="str">
        <f>IF(SP_SUL!H432="","*",SP_SUL!H432)</f>
        <v>-</v>
      </c>
      <c r="G432" s="83" t="str">
        <f>IF(SP_SUL!M432="","*",SP_SUL!M432)</f>
        <v>ZPG-ZZV</v>
      </c>
      <c r="H432" s="116">
        <f>IF(SP_SUL!K432="","*",SP_SUL!K432)</f>
        <v>122.7</v>
      </c>
      <c r="I432" s="113">
        <f>IF(SP_SUL!O432="","*",SP_SUL!O432)</f>
        <v>0.375</v>
      </c>
      <c r="J432" s="113">
        <f>IF(SP_SUL!P432="","*",SP_SUL!P432)</f>
        <v>0.125</v>
      </c>
      <c r="K432" s="83" t="str">
        <f>IF(SP_SUL!AK432="","*",SP_SUL!AK432)</f>
        <v>-</v>
      </c>
      <c r="L432" s="83" t="str">
        <f>IF(SP_SUL!AM432="","*",SP_SUL!AM432)</f>
        <v>ZPG-ZZV</v>
      </c>
      <c r="M432" s="83">
        <f>IF(SP_SUL!AP432="","*",SP_SUL!AP432)</f>
        <v>122.7</v>
      </c>
      <c r="N432" s="83" t="str">
        <f>IF(SP_SUL!AM432="","*",SP_SUL!AM432)</f>
        <v>ZPG-ZZV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36"/>
      <c r="B1" s="237"/>
      <c r="C1" s="23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9" t="s">
        <v>1009</v>
      </c>
      <c r="Q1" s="240"/>
      <c r="R1" s="111"/>
      <c r="S1" s="84"/>
      <c r="T1" s="86"/>
      <c r="U1" s="241" t="s">
        <v>1621</v>
      </c>
      <c r="V1" s="241"/>
      <c r="W1" s="241"/>
    </row>
    <row r="2" spans="1:23" ht="15" customHeight="1">
      <c r="A2" s="87" t="s">
        <v>1622</v>
      </c>
      <c r="B2" s="87" t="s">
        <v>1617</v>
      </c>
      <c r="C2" s="87" t="s">
        <v>376</v>
      </c>
      <c r="D2" s="88" t="s">
        <v>961</v>
      </c>
      <c r="E2" s="88" t="s">
        <v>4</v>
      </c>
      <c r="F2" s="88" t="s">
        <v>1616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1623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6.25E-2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82.5</v>
      </c>
      <c r="O397" s="144">
        <f>IF(SP_SUL!L400="","*",SP_SUL!L400)</f>
        <v>83.3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Oportunidade</v>
      </c>
      <c r="C423" s="146" t="str">
        <f>IF(SP_SUL!Z426="","*",SP_SUL!Z426)</f>
        <v>*</v>
      </c>
      <c r="D423" s="139" t="str">
        <f>IF(SP_SUL!S426="","*",SP_SUL!S426)</f>
        <v>SP SUL</v>
      </c>
      <c r="E423" s="139" t="str">
        <f>IF(SP_SUL!T426="","*",SP_SUL!T426)</f>
        <v>ZEV-ZPT</v>
      </c>
      <c r="F423" s="145">
        <f>IF(SP_SUL!B426="","*",SP_SUL!B426)</f>
        <v>46094</v>
      </c>
      <c r="G423" s="145" t="str">
        <f>IF(SP_SUL!D426="","*",SP_SUL!D426)</f>
        <v>W62</v>
      </c>
      <c r="H423" s="145" t="str">
        <f>IF(SP_SUL!F426="","*",SP_SUL!F426)</f>
        <v>DESLOCAMENTO</v>
      </c>
      <c r="I423" s="145" t="str">
        <f>IF(SP_SUL!H426="","*",SP_SUL!H426)</f>
        <v>ZPT105-1</v>
      </c>
      <c r="J423" s="145" t="str">
        <f>IF(SP_SUL!I426="","*",SP_SUL!I426)</f>
        <v>ZDRZPT</v>
      </c>
      <c r="K423" s="139" t="str">
        <f>IF(SP_SUL!M426="","*",SP_SUL!M426)</f>
        <v>ZPT-ZXW</v>
      </c>
      <c r="L423" s="139" t="str">
        <f>IF(SP_SUL!N426="","*",SP_SUL!N426)</f>
        <v>ZPTZXW</v>
      </c>
      <c r="M423" s="140">
        <f>IF(SP_SUL!J426="","*",SP_SUL!J426)</f>
        <v>54</v>
      </c>
      <c r="N423" s="144">
        <f>IF(SP_SUL!K426="","*",SP_SUL!K426)</f>
        <v>83.7</v>
      </c>
      <c r="O423" s="144" t="str">
        <f>IF(SP_SUL!L426="","*",SP_SUL!L426)</f>
        <v>-</v>
      </c>
      <c r="P423" s="143">
        <f>IF(SP_SUL!O426="","*",SP_SUL!O426)</f>
        <v>0.33333333333333331</v>
      </c>
      <c r="Q423" s="143">
        <f>IF(SP_SUL!P426="","*",SP_SUL!P426)</f>
        <v>4.1666666666666664E-2</v>
      </c>
      <c r="R423" s="145" t="str">
        <f>IF(SP_SUL!Q426="","*",CONCATENATE(SP_SUL!Q426," ",SP_SUL!R426))</f>
        <v>1 BINÁRIO</v>
      </c>
      <c r="S423" s="145" t="str">
        <f>IF(SP_SUL!V426="","*",SP_SUL!V426)</f>
        <v>Moises</v>
      </c>
      <c r="T423" s="145" t="str">
        <f>IF(SP_SUL!W426="","*",SP_SUL!W426)</f>
        <v>Deslocamento turmas na serra</v>
      </c>
      <c r="U423" s="137" t="str">
        <f ca="1">_xlfn.XLOOKUP(G423&amp;$U$2,BS_CONTROLE[CHAVE],BS_CONTROLE[Quantidade_11],"-")</f>
        <v>-</v>
      </c>
      <c r="V423" s="137">
        <f ca="1">_xlfn.XLOOKUP(G423&amp;$V$2,BS_CONTROLE[CHAVE],BS_CONTROLE[Quantidade_11],"-")</f>
        <v>1</v>
      </c>
      <c r="W423" s="137">
        <f ca="1">_xlfn.XLOOKUP(G423&amp;$W$2,BS_CONTROLE[CHAVE],BS_CONTROLE[Quantidade_11],"-")</f>
        <v>1</v>
      </c>
    </row>
    <row r="424" spans="1:23" hidden="1">
      <c r="A424" s="146" t="str">
        <f>IF(SP_SUL!Y427="","*",SP_SUL!Y427)</f>
        <v>*</v>
      </c>
      <c r="B424" s="146" t="str">
        <f>IF(SP_SUL!X427="","*",SP_SUL!X427)</f>
        <v>Oportunidade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46094</v>
      </c>
      <c r="G424" s="145" t="str">
        <f>IF(SP_SUL!D427="","*",SP_SUL!D427)</f>
        <v>MOD ZGP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</v>
      </c>
      <c r="L424" s="139" t="str">
        <f>IF(SP_SUL!N427="","*",SP_SUL!N427)</f>
        <v>ZGP2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0.47916666666666669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Oportunidade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46094</v>
      </c>
      <c r="G425" s="145" t="str">
        <f>IF(SP_SUL!D428="","*",SP_SUL!D428)</f>
        <v>V85</v>
      </c>
      <c r="H425" s="145" t="str">
        <f>IF(SP_SUL!F428="","*",SP_SUL!F428)</f>
        <v>MECANIZAÇÃO - SOCADORA</v>
      </c>
      <c r="I425" s="145" t="str">
        <f>IF(SP_SUL!H428="","*",SP_SUL!H428)</f>
        <v>ZDRZPT</v>
      </c>
      <c r="J425" s="145" t="str">
        <f>IF(SP_SUL!I428="","*",SP_SUL!I428)</f>
        <v>ZDRZPT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103.54</v>
      </c>
      <c r="P425" s="143">
        <f>IF(SP_SUL!O428="","*",SP_SUL!O428)</f>
        <v>0.41666666666666669</v>
      </c>
      <c r="Q425" s="143">
        <f>IF(SP_SUL!P428="","*",SP_SUL!P428)</f>
        <v>0</v>
      </c>
      <c r="R425" s="145" t="str">
        <f>IF(SP_SUL!Q428="","*",CONCATENATE(SP_SUL!Q428," ",SP_SUL!R428))</f>
        <v>1310 M</v>
      </c>
      <c r="S425" s="145" t="str">
        <f>IF(SP_SUL!V428="","*",SP_SUL!V428)</f>
        <v>Augusto</v>
      </c>
      <c r="T425" s="145" t="str">
        <f>IF(SP_SUL!W428="","*",SP_SUL!W428)</f>
        <v>Socaria Mecanizada</v>
      </c>
      <c r="U425" s="137">
        <f ca="1">_xlfn.XLOOKUP(G425&amp;$U$2,BS_CONTROLE[CHAVE],BS_CONTROLE[Quantidade_11],"-")</f>
        <v>1</v>
      </c>
      <c r="V425" s="137">
        <f ca="1">_xlfn.XLOOKUP(G425&amp;$V$2,BS_CONTROLE[CHAVE],BS_CONTROLE[Quantidade_11],"-")</f>
        <v>1860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Oportunidade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46094</v>
      </c>
      <c r="G426" s="145" t="str">
        <f>IF(SP_SUL!D429="","*",SP_SUL!D429)</f>
        <v>HUELTON (TP-725)</v>
      </c>
      <c r="H426" s="145" t="str">
        <f>IF(SP_SUL!F429="","*",SP_SUL!F429)</f>
        <v>PDM - SOLDA</v>
      </c>
      <c r="I426" s="145" t="str">
        <f>IF(SP_SUL!H429="","*",SP_SUL!H429)</f>
        <v>-</v>
      </c>
      <c r="J426" s="145" t="str">
        <f>IF(SP_SUL!I429="","*",SP_SUL!I429)</f>
        <v>-</v>
      </c>
      <c r="K426" s="139" t="str">
        <f>IF(SP_SUL!M429="","*",SP_SUL!M429)</f>
        <v>ZPT</v>
      </c>
      <c r="L426" s="139" t="str">
        <f>IF(SP_SUL!N429="","*",SP_SUL!N429)</f>
        <v>ZPT2</v>
      </c>
      <c r="M426" s="140">
        <f>IF(SP_SUL!J429="","*",SP_SUL!J429)</f>
        <v>92</v>
      </c>
      <c r="N426" s="144">
        <f>IF(SP_SUL!K429="","*",SP_SUL!K429)</f>
        <v>106.8</v>
      </c>
      <c r="O426" s="144" t="str">
        <f>IF(SP_SUL!L429="","*",SP_SUL!L429)</f>
        <v>-</v>
      </c>
      <c r="P426" s="143">
        <f>IF(SP_SUL!O429="","*",SP_SUL!O429)</f>
        <v>0.375</v>
      </c>
      <c r="Q426" s="143">
        <f>IF(SP_SUL!P429="","*",SP_SUL!P429)</f>
        <v>0.125</v>
      </c>
      <c r="R426" s="145" t="str">
        <f>IF(SP_SUL!Q429="","*",CONCATENATE(SP_SUL!Q429," ",SP_SUL!R429))</f>
        <v>2 Nº DE SOLDA</v>
      </c>
      <c r="S426" s="145" t="str">
        <f>IF(SP_SUL!V429="","*",SP_SUL!V429)</f>
        <v>Moises</v>
      </c>
      <c r="T426" s="145" t="str">
        <f>IF(SP_SUL!W429="","*",SP_SUL!W429)</f>
        <v xml:space="preserve">Execução de solda - Condicionado a temperatura </v>
      </c>
      <c r="U426" s="137" t="str">
        <f ca="1">_xlfn.XLOOKUP(G426&amp;$U$2,BS_CONTROLE[CHAVE],BS_CONTROLE[Quantidade_11],"-")</f>
        <v>-</v>
      </c>
      <c r="V426" s="137">
        <f ca="1">_xlfn.XLOOKUP(G426&amp;$V$2,BS_CONTROLE[CHAVE],BS_CONTROLE[Quantidade_11],"-")</f>
        <v>0</v>
      </c>
      <c r="W426" s="137">
        <f ca="1">_xlfn.XLOOKUP(G426&amp;$W$2,BS_CONTROLE[CHAVE],BS_CONTROLE[Quantidade_11],"-")</f>
        <v>0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46094</v>
      </c>
      <c r="G427" s="145" t="str">
        <f>IF(SP_SUL!D430="","*",SP_SUL!D430)</f>
        <v>EXPANSÃO TURMA 1</v>
      </c>
      <c r="H427" s="145" t="str">
        <f>IF(SP_SUL!F430="","*",SP_SUL!F430)</f>
        <v>EXPANSÃO - SOLDA</v>
      </c>
      <c r="I427" s="145" t="str">
        <f>IF(SP_SUL!H430="","*",SP_SUL!H430)</f>
        <v>-</v>
      </c>
      <c r="J427" s="145" t="str">
        <f>IF(SP_SUL!I430="","*",SP_SUL!I430)</f>
        <v>-</v>
      </c>
      <c r="K427" s="139" t="str">
        <f>IF(SP_SUL!M430="","*",SP_SUL!M430)</f>
        <v>ZGM-109</v>
      </c>
      <c r="L427" s="139">
        <f>IF(SP_SUL!N430="","*",SP_SUL!N430)</f>
        <v>1121111</v>
      </c>
      <c r="M427" s="140">
        <f>IF(SP_SUL!J430="","*",SP_SUL!J430)</f>
        <v>30</v>
      </c>
      <c r="N427" s="144">
        <f>IF(SP_SUL!K430="","*",SP_SUL!K430)</f>
        <v>111.5</v>
      </c>
      <c r="O427" s="144">
        <f>IF(SP_SUL!L430="","*",SP_SUL!L430)</f>
        <v>112</v>
      </c>
      <c r="P427" s="143">
        <f>IF(SP_SUL!O430="","*",SP_SUL!O430)</f>
        <v>0.41666666666666669</v>
      </c>
      <c r="Q427" s="143">
        <f>IF(SP_SUL!P430="","*",SP_SUL!P430)</f>
        <v>6.25E-2</v>
      </c>
      <c r="R427" s="145" t="str">
        <f>IF(SP_SUL!Q430="","*",CONCATENATE(SP_SUL!Q430," ",SP_SUL!R430))</f>
        <v>1 Nº DE SOLDA</v>
      </c>
      <c r="S427" s="145" t="str">
        <f>IF(SP_SUL!V430="","*",SP_SUL!V430)</f>
        <v>Pedro</v>
      </c>
      <c r="T427" s="145" t="str">
        <f>IF(SP_SUL!W430="","*",SP_SUL!W430)</f>
        <v xml:space="preserve">Execução de solda - Condicionado a temperatura 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>
        <f ca="1">_xlfn.XLOOKUP(G427&amp;$W$2,BS_CONTROLE[CHAVE],BS_CONTROLE[Quantidade_11],"-")</f>
        <v>0</v>
      </c>
    </row>
    <row r="428" spans="1:23" hidden="1">
      <c r="A428" s="146" t="str">
        <f>IF(SP_SUL!Y431="","*",SP_SUL!Y431)</f>
        <v>*</v>
      </c>
      <c r="B428" s="146" t="str">
        <f>IF(SP_SUL!X431="","*",SP_SUL!X431)</f>
        <v>Contrato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ZEV-ZPT</v>
      </c>
      <c r="F428" s="145">
        <f>IF(SP_SUL!B431="","*",SP_SUL!B431)</f>
        <v>46094</v>
      </c>
      <c r="G428" s="145" t="str">
        <f>IF(SP_SUL!D431="","*",SP_SUL!D431)</f>
        <v>LEANDRO (TP-727)</v>
      </c>
      <c r="H428" s="145" t="str">
        <f>IF(SP_SUL!F431="","*",SP_SUL!F431)</f>
        <v>PDM - SUBSTITUIÇÃO - DORMENTE</v>
      </c>
      <c r="I428" s="145" t="str">
        <f>IF(SP_SUL!H431="","*",SP_SUL!H431)</f>
        <v>-</v>
      </c>
      <c r="J428" s="145" t="str">
        <f>IF(SP_SUL!I431="","*",SP_SUL!I431)</f>
        <v>-</v>
      </c>
      <c r="K428" s="139" t="str">
        <f>IF(SP_SUL!M431="","*",SP_SUL!M431)</f>
        <v>ZGM-109</v>
      </c>
      <c r="L428" s="139">
        <f>IF(SP_SUL!N431="","*",SP_SUL!N431)</f>
        <v>1131121</v>
      </c>
      <c r="M428" s="140">
        <f>IF(SP_SUL!J431="","*",SP_SUL!J431)</f>
        <v>30</v>
      </c>
      <c r="N428" s="144">
        <f>IF(SP_SUL!K431="","*",SP_SUL!K431)</f>
        <v>113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30 Nº DE DORMENTES</v>
      </c>
      <c r="S428" s="145" t="str">
        <f>IF(SP_SUL!V431="","*",SP_SUL!V431)</f>
        <v>Moises</v>
      </c>
      <c r="T428" s="145" t="str">
        <f>IF(SP_SUL!W431="","*",SP_SUL!W431)</f>
        <v>pDM - Substituição de dormentes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46094</v>
      </c>
      <c r="G429" s="145" t="str">
        <f>IF(SP_SUL!D432="","*",SP_SUL!D432)</f>
        <v>RAFAEL (TP-695)</v>
      </c>
      <c r="H429" s="145" t="str">
        <f>IF(SP_SUL!F432="","*",SP_SUL!F432)</f>
        <v>PDM - AMV - JACARÉ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ZPG-ZZV</v>
      </c>
      <c r="L429" s="139" t="str">
        <f>IF(SP_SUL!N432="","*",SP_SUL!N432)</f>
        <v>ZPGZZV</v>
      </c>
      <c r="M429" s="140">
        <f>IF(SP_SUL!J432="","*",SP_SUL!J432)</f>
        <v>53</v>
      </c>
      <c r="N429" s="144">
        <f>IF(SP_SUL!K432="","*",SP_SUL!K432)</f>
        <v>122.7</v>
      </c>
      <c r="O429" s="144">
        <f>IF(SP_SUL!L432="","*",SP_SUL!L432)</f>
        <v>122.6</v>
      </c>
      <c r="P429" s="143">
        <f>IF(SP_SUL!O432="","*",SP_SUL!O432)</f>
        <v>0.375</v>
      </c>
      <c r="Q429" s="143">
        <f>IF(SP_SUL!P432="","*",SP_SUL!P432)</f>
        <v>0.125</v>
      </c>
      <c r="R429" s="145" t="str">
        <f>IF(SP_SUL!Q432="","*",CONCATENATE(SP_SUL!Q432," ",SP_SUL!R432))</f>
        <v>1 Nº DE PEÇAS</v>
      </c>
      <c r="S429" s="145" t="str">
        <f>IF(SP_SUL!V432="","*",SP_SUL!V432)</f>
        <v>Moises</v>
      </c>
      <c r="T429" s="145" t="str">
        <f>IF(SP_SUL!W432="","*",SP_SUL!W432)</f>
        <v>PDM - Substituição de jacaré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2026-03-12T20:50:07Z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