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26" documentId="8_{B6337239-1A00-434D-AAD0-422EA1FEB5AE}" xr6:coauthVersionLast="47" xr6:coauthVersionMax="47" xr10:uidLastSave="{0E51F772-9639-4F03-AC32-0EA135BBFFB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5" i="1" l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L355" i="12" s="1"/>
  <c r="R358" i="1"/>
  <c r="S355" i="12" s="1"/>
  <c r="S358" i="1" a="1"/>
  <c r="S358" i="1" s="1"/>
  <c r="D355" i="12" s="1"/>
  <c r="T358" i="1" a="1"/>
  <c r="T358" i="1" s="1"/>
  <c r="E355" i="12" s="1"/>
  <c r="U358" i="1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7" i="1" l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<sst xmlns="http://schemas.openxmlformats.org/spreadsheetml/2006/main" count="9481" uniqueCount="1927">
  <si>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</si>
  <si>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</si>
  <si>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</si>
  <si>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</si>
  <si>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</si>
  <si>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</si>
  <si>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</si>
  <si>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</si>
  <si>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</si>
  <si>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</si>
  <si>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</si>
  <si>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</si>
  <si>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</si>
  <si>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</si>
  <si>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</si>
  <si>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</si>
  <si>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</si>
  <si>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</si>
  <si>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</si>
  <si>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</si>
  <si>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</si>
  <si>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</si>
  <si>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</si>
  <si>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</si>
  <si>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</si>
  <si>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</si>
  <si>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</si>
  <si>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</si>
  <si>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</si>
  <si>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</si>
  <si>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</si>
  <si>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</si>
  <si>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</si>
  <si>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</si>
  <si>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</si>
  <si>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</si>
  <si>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</si>
  <si>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</si>
  <si>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</si>
  <si>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</si>
  <si>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</si>
  <si>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</si>
  <si>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</si>
  <si>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</si>
  <si>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</si>
  <si>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</si>
  <si>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</si>
  <si>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</si>
  <si>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</si>
  <si>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</si>
  <si>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</si>
  <si>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</si>
  <si>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</si>
  <si>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</si>
  <si>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</si>
  <si>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</si>
  <si>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</si>
  <si>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</si>
  <si>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</si>
  <si>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</si>
  <si>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</si>
  <si>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</si>
  <si>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</si>
  <si>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</si>
  <si>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</si>
  <si>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</si>
  <si>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</si>
  <si>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</si>
  <si>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</si>
  <si>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</si>
  <si>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</si>
  <si>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</si>
  <si>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</si>
  <si>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</si>
  <si>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</si>
  <si>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</si>
  <si>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</si>
  <si>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</si>
  <si>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</si>
  <si>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</si>
  <si>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</si>
  <si>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</si>
  <si>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</si>
  <si>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</si>
  <si>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</si>
  <si>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</si>
  <si>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</si>
  <si>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</si>
  <si>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</si>
  <si>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</si>
  <si>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</si>
  <si>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</si>
  <si>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</si>
  <si>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</si>
  <si>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</si>
  <si>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</si>
  <si>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</si>
  <si>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</si>
  <si>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</si>
  <si>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</si>
  <si>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</si>
  <si>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</si>
  <si>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</si>
  <si>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</si>
  <si>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</si>
  <si>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</si>
  <si>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</si>
  <si>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</si>
  <si>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</si>
  <si>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</si>
  <si>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</si>
  <si>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</si>
  <si>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</si>
  <si>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</si>
  <si>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</si>
  <si>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</si>
  <si>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</si>
  <si>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</si>
  <si>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</si>
  <si>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</si>
  <si>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</si>
  <si>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</si>
  <si>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</si>
  <si>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</si>
  <si>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</si>
  <si>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</si>
  <si>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</si>
  <si>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</si>
  <si>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</si>
  <si>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</si>
  <si>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</si>
  <si>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</si>
  <si>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</si>
  <si>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</si>
  <si>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</si>
  <si>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</si>
  <si>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</si>
  <si>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</si>
  <si>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</si>
  <si>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</si>
  <si>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</si>
  <si>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</si>
  <si>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</si>
  <si>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</si>
  <si>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</si>
  <si>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</si>
  <si>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</si>
  <si>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</si>
  <si>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</si>
  <si>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</si>
  <si>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</si>
  <si>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</si>
  <si>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</si>
  <si>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</si>
  <si>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</si>
  <si>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</si>
  <si>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</si>
  <si>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</si>
  <si>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</si>
  <si>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</si>
  <si>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</si>
  <si>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</si>
  <si>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</si>
  <si>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</si>
  <si>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</si>
  <si>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</si>
  <si>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</si>
  <si>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</si>
  <si>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</si>
  <si>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</si>
  <si>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</si>
  <si>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</si>
  <si>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</si>
  <si>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</si>
  <si>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</si>
  <si>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</si>
  <si>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</si>
  <si>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</si>
  <si>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</si>
  <si>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</si>
  <si>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</si>
  <si>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</si>
  <si>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</si>
  <si>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</si>
  <si>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</si>
  <si>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</si>
  <si>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</si>
  <si>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</si>
  <si>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</si>
  <si>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</si>
  <si>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</si>
  <si>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</si>
  <si>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</si>
  <si>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</si>
  <si>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</si>
  <si>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</si>
  <si>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</si>
  <si>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</si>
  <si>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</si>
  <si>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</si>
  <si>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</si>
  <si>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</si>
  <si>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</si>
  <si>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</si>
  <si>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</si>
  <si>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</si>
  <si>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</si>
  <si>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</si>
  <si>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</si>
  <si>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</si>
  <si>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</si>
  <si>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</si>
  <si>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</si>
  <si>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</si>
  <si>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</si>
  <si>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</si>
  <si>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</si>
  <si>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</si>
  <si>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</si>
  <si>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</si>
  <si>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</si>
  <si>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</si>
  <si>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</si>
  <si>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</si>
  <si>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</si>
  <si>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</si>
  <si>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</si>
  <si>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</si>
  <si>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</si>
  <si>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</si>
  <si>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</si>
  <si>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</si>
  <si>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</si>
  <si>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</si>
  <si>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</si>
  <si>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</si>
  <si>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</si>
  <si>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</si>
  <si>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</si>
  <si>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</si>
  <si>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</si>
  <si>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</si>
  <si>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</si>
  <si>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</si>
  <si>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</si>
  <si>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</si>
  <si>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</si>
  <si>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</si>
  <si>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</si>
  <si>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</si>
  <si>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</si>
  <si>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</si>
  <si>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</si>
  <si>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</si>
  <si>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</si>
  <si>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</si>
  <si>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</si>
  <si>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</si>
  <si>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</si>
  <si>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</si>
  <si>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</si>
  <si>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</si>
  <si>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</si>
  <si>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</si>
  <si>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</si>
  <si>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</si>
  <si>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</si>
  <si>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</si>
  <si>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</si>
  <si>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</si>
  <si>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</si>
  <si>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</si>
  <si>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</si>
  <si>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</si>
  <si>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</si>
  <si>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</si>
  <si>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</si>
  <si>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</si>
  <si>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</si>
  <si>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</si>
  <si>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</si>
  <si>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</si>
  <si>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</si>
  <si>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</si>
  <si>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</si>
  <si>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</si>
  <si>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</si>
  <si>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</si>
  <si>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</si>
  <si>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</si>
  <si>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</si>
  <si>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</si>
  <si>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</si>
  <si>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</si>
  <si>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</si>
  <si>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</si>
  <si>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</si>
  <si>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</si>
  <si>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</si>
  <si>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</si>
  <si>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</si>
  <si>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</si>
  <si>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</si>
  <si>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</si>
  <si>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</si>
  <si>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</si>
  <si>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</si>
  <si>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</si>
  <si>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</si>
  <si>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</si>
  <si>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</si>
  <si>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</si>
  <si>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</si>
  <si>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</si>
  <si>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</si>
  <si>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</si>
  <si>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</si>
  <si>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</si>
  <si>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</si>
  <si>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</si>
  <si>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</si>
  <si>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</si>
  <si>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</si>
  <si>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</si>
  <si>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</si>
  <si>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</si>
  <si>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</si>
  <si>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</si>
  <si>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</si>
  <si>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</si>
  <si>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</si>
  <si>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</si>
  <si>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</si>
  <si>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</si>
  <si>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</si>
  <si>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</si>
  <si>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</si>
  <si>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</si>
  <si>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</si>
  <si>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</si>
  <si>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</si>
  <si>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</si>
  <si>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</si>
  <si>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</si>
  <si>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</si>
  <si>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</si>
  <si>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</si>
  <si>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</si>
  <si>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</si>
  <si>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</si>
  <si>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</si>
  <si>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</si>
  <si>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</si>
  <si>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</si>
  <si>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</si>
  <si>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</si>
  <si>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</si>
  <si>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</si>
  <si>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</si>
  <si>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</si>
  <si>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</si>
  <si>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</si>
  <si>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</si>
  <si>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</si>
  <si>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</si>
  <si>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</si>
  <si>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</si>
  <si>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</si>
  <si>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</si>
  <si>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</si>
  <si>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</si>
  <si>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</si>
  <si>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</si>
  <si>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</si>
  <si>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</si>
  <si>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</si>
  <si>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</si>
  <si>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</si>
  <si>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</si>
  <si>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</si>
  <si>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</si>
  <si>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</si>
  <si>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</si>
  <si>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</si>
  <si>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</si>
  <si>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</si>
  <si>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</si>
  <si>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</si>
  <si>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</si>
  <si>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</si>
  <si>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</si>
  <si>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</si>
  <si>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</si>
  <si>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</si>
  <si>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</si>
  <si>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</si>
  <si>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</si>
  <si>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</si>
  <si>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</si>
  <si>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</si>
  <si>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</si>
  <si>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</si>
  <si>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</si>
  <si>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</si>
  <si>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</si>
  <si>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</si>
  <si>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</si>
  <si>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</si>
  <si>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</si>
  <si>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</si>
  <si>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</si>
  <si>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</si>
  <si>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</si>
  <si>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</si>
  <si>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</si>
  <si>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</si>
  <si>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</si>
  <si>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</si>
  <si>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</si>
  <si>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</si>
  <si>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</si>
  <si>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</si>
  <si>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</si>
  <si>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</si>
  <si>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</si>
  <si>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</si>
  <si>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</si>
  <si>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</si>
  <si>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</si>
  <si>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</si>
  <si>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</si>
  <si>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</si>
  <si>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</si>
  <si>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</si>
  <si>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</si>
  <si>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</si>
  <si>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</si>
  <si>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</si>
  <si>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</si>
  <si>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</si>
  <si>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</si>
  <si>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</si>
  <si>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</si>
  <si>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</si>
  <si>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</si>
  <si>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</si>
  <si>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</si>
  <si>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</si>
  <si>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</si>
  <si>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</si>
  <si>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</si>
  <si>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</si>
  <si>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</si>
  <si>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</si>
  <si>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</si>
  <si>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</si>
  <si>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</si>
  <si>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</si>
  <si>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</si>
  <si>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</si>
  <si>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</si>
  <si>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</si>
  <si>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</si>
  <si>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</si>
  <si>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</si>
  <si>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</si>
  <si>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</si>
  <si>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</si>
  <si>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</si>
  <si>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</si>
  <si>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</si>
  <si>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</si>
  <si>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</si>
  <si>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</si>
  <si>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</si>
  <si>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</si>
  <si>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</si>
  <si>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</si>
  <si>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</si>
  <si>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</si>
  <si>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</si>
  <si>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</si>
  <si>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</si>
  <si>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</si>
  <si>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</si>
  <si>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</si>
  <si>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</si>
  <si>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</si>
  <si>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</si>
  <si>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</si>
  <si>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</si>
  <si>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</si>
  <si>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</si>
  <si>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</si>
  <si>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</si>
  <si>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</si>
  <si>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</si>
  <si>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</si>
  <si>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</si>
  <si>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</si>
  <si>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</si>
  <si>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</si>
  <si>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</si>
  <si>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</si>
  <si>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</si>
  <si>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</si>
  <si>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</si>
  <si>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</si>
  <si>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</si>
  <si>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</si>
  <si>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</si>
  <si>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</si>
  <si>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</si>
  <si>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</si>
  <si>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</si>
  <si>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</si>
  <si>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</si>
  <si>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</si>
  <si>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</si>
  <si>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</si>
  <si>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</si>
  <si>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</si>
  <si>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</si>
  <si>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</si>
  <si>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</si>
  <si>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</si>
  <si>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</si>
  <si>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</si>
  <si>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</si>
  <si>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</si>
  <si>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</si>
  <si>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</si>
  <si>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</si>
  <si>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</si>
  <si>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</si>
  <si>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</si>
  <si>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</si>
  <si>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</si>
  <si>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</si>
  <si>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</si>
  <si>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</si>
  <si>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</si>
  <si>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</si>
  <si>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</si>
  <si>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</si>
  <si>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</si>
  <si>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</si>
  <si>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</si>
  <si>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</si>
  <si>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</si>
  <si>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</si>
  <si>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</si>
  <si>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</si>
  <si>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</si>
  <si>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</si>
  <si>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</si>
  <si>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</si>
  <si>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</si>
  <si>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</si>
  <si>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</si>
  <si>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</si>
  <si>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</si>
  <si>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</si>
  <si>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</si>
  <si>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</si>
  <si>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</si>
  <si>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</si>
  <si>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</si>
  <si>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</si>
  <si>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</si>
  <si>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</si>
  <si>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</si>
  <si>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</si>
  <si>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</si>
  <si>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</si>
  <si>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</si>
  <si>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</si>
  <si>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</si>
  <si>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</si>
  <si>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</si>
  <si>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</si>
  <si>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</si>
  <si>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</si>
  <si>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</si>
  <si>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</si>
  <si>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</si>
  <si>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</si>
  <si>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</si>
  <si>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</si>
  <si>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</si>
  <si>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</si>
  <si>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</si>
  <si>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</si>
  <si>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</si>
  <si>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</si>
  <si>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</si>
  <si>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</si>
  <si>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</si>
  <si>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</si>
  <si>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</si>
  <si>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</si>
  <si>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</si>
  <si>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</si>
  <si>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</si>
  <si>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</si>
  <si>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</si>
  <si>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</si>
  <si>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</si>
  <si>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</si>
  <si>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</si>
  <si>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</si>
  <si>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</si>
  <si>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</si>
  <si>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</si>
  <si>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</si>
  <si>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</si>
  <si>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</si>
  <si>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</si>
  <si>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</si>
  <si>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</si>
  <si>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</si>
  <si>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</si>
  <si>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</si>
  <si>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</si>
  <si>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</si>
  <si>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</si>
  <si>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</si>
  <si>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</si>
  <si>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</si>
  <si>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</si>
  <si>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</si>
  <si>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</si>
  <si>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</si>
  <si>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</si>
  <si>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</si>
  <si>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</si>
  <si>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</si>
  <si>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</si>
  <si>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</si>
  <si>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</si>
  <si>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</si>
  <si>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</si>
  <si>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</si>
  <si>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</si>
  <si>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</si>
  <si>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</si>
  <si>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</si>
  <si>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</si>
  <si>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</si>
  <si>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</si>
  <si>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</si>
  <si>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</si>
  <si>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</si>
  <si>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</si>
  <si>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</si>
  <si>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</si>
  <si>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</si>
  <si>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</si>
  <si>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</si>
  <si>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</si>
  <si>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</si>
  <si>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</si>
  <si>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</si>
  <si>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</si>
  <si>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</si>
  <si>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</si>
  <si>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</si>
  <si>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</si>
  <si>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</si>
  <si>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</si>
  <si>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</si>
  <si>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</si>
  <si>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</si>
  <si>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</si>
  <si>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</si>
  <si>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</si>
  <si>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</si>
  <si>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</si>
  <si>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</si>
  <si>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</si>
  <si>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</si>
  <si>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</si>
  <si>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</si>
  <si>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</si>
  <si>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</si>
  <si>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</si>
  <si>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</si>
  <si>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</si>
  <si>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</si>
  <si>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</si>
  <si>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</si>
  <si>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</si>
  <si>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</si>
  <si>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</si>
  <si>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</si>
  <si>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</si>
  <si>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</si>
  <si>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</si>
  <si>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</si>
  <si>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</si>
  <si>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</si>
  <si>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</si>
  <si>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</si>
  <si>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</si>
  <si>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</si>
  <si>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</si>
  <si>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</si>
  <si>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</si>
  <si>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</si>
  <si>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</si>
  <si>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</si>
  <si>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</si>
  <si>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</si>
  <si>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</si>
  <si>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</si>
  <si>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</si>
  <si>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</si>
  <si>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</si>
  <si>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</si>
  <si>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</si>
  <si>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</si>
  <si>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</si>
  <si>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</si>
  <si>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</si>
  <si>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</si>
  <si>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</si>
  <si>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</si>
  <si>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</si>
  <si>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</si>
  <si>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</si>
  <si>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</si>
  <si>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</si>
  <si>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</si>
  <si>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</si>
  <si>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</si>
  <si>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</si>
  <si>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</si>
  <si>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</si>
  <si>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</si>
  <si>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</si>
  <si>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</si>
  <si>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</si>
  <si>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</si>
  <si>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</si>
  <si>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</si>
  <si>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</si>
  <si>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</si>
  <si>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</si>
  <si>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</si>
  <si>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</si>
  <si>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</si>
  <si>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</si>
  <si>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</si>
  <si>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</si>
  <si>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</si>
  <si>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</si>
  <si>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</si>
  <si>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</si>
  <si>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</si>
  <si>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</si>
  <si>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</si>
  <si>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</si>
  <si>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</si>
  <si>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</si>
  <si>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</si>
  <si>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</si>
  <si>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</si>
  <si>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</si>
  <si>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</si>
  <si>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</si>
  <si>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</si>
  <si>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</si>
  <si>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</si>
  <si>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</si>
  <si>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</si>
  <si>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</si>
  <si>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</si>
  <si>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</si>
  <si>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</si>
  <si>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</si>
  <si>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</si>
  <si>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</si>
  <si>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</si>
  <si>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</si>
  <si>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</si>
  <si>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</si>
  <si>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</si>
  <si>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</si>
  <si>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</si>
  <si>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</si>
  <si>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</si>
  <si>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</si>
  <si>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</si>
  <si>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</si>
  <si>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</si>
  <si>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</si>
  <si>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</si>
  <si>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</si>
  <si>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</si>
  <si>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</si>
  <si>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</si>
  <si>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</si>
  <si>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</si>
  <si>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</si>
  <si>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</si>
  <si>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</si>
  <si>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</si>
  <si>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</si>
  <si>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</si>
  <si>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</si>
  <si>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</si>
  <si>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</si>
  <si>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</si>
  <si>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</si>
  <si>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</si>
  <si>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</si>
  <si>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</si>
  <si>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</si>
  <si>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</si>
  <si>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</si>
  <si>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</si>
  <si>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</si>
  <si>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</si>
  <si>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</si>
  <si>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</si>
  <si>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</si>
  <si>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</si>
  <si>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</si>
  <si>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</si>
  <si>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</si>
  <si>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</si>
  <si>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</si>
  <si>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</si>
  <si>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</si>
  <si>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</si>
  <si>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</si>
  <si>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</si>
  <si>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</si>
  <si>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</si>
  <si>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</si>
  <si>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</si>
  <si>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</si>
  <si>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</si>
  <si>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</si>
  <si>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</si>
  <si>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</si>
  <si>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</si>
  <si>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</si>
  <si>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</si>
  <si>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</si>
  <si>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</si>
  <si>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</si>
  <si>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</si>
  <si>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</si>
  <si>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</si>
  <si>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</si>
  <si>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</si>
  <si>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</si>
  <si>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</si>
  <si>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</si>
  <si>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</si>
  <si>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</si>
  <si>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</si>
  <si>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</si>
  <si>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</si>
  <si>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</si>
  <si>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</si>
  <si>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</si>
  <si>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</si>
  <si>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</si>
  <si>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</si>
  <si>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</si>
  <si>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</si>
  <si>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</si>
  <si>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</si>
  <si>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</si>
  <si>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</si>
  <si>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</si>
  <si>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</si>
  <si>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</si>
  <si>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</si>
  <si>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</si>
  <si>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</si>
  <si>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</si>
  <si>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</si>
  <si>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</si>
  <si>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</si>
  <si>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</si>
  <si>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</si>
  <si>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</si>
  <si>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</si>
  <si>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</si>
  <si>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</si>
  <si>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</si>
  <si>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</si>
  <si>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</si>
  <si>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</si>
  <si>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</si>
  <si>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</si>
  <si>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</si>
  <si>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</si>
  <si>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</si>
  <si>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</si>
  <si>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</si>
  <si>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</si>
  <si>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</si>
  <si>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</si>
  <si>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</si>
  <si>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</si>
  <si>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</si>
  <si>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</si>
  <si>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</si>
  <si>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</si>
  <si>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</si>
  <si>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</si>
  <si>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</si>
  <si>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</si>
  <si>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</si>
  <si>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</si>
  <si>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</si>
  <si>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</si>
  <si>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</si>
  <si>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</si>
  <si>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</si>
  <si>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</si>
  <si>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</si>
  <si>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</si>
  <si>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</si>
  <si>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</si>
  <si>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</si>
  <si>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</si>
  <si>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</si>
  <si>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</si>
  <si>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</si>
  <si>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</si>
  <si>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</si>
  <si>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</si>
  <si>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</si>
  <si>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</si>
  <si>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</si>
  <si>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</si>
  <si>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</si>
  <si>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</si>
  <si>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</si>
  <si>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</si>
  <si>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</si>
  <si>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</si>
  <si>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</si>
  <si>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</si>
  <si>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</si>
  <si>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</si>
  <si>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</si>
  <si>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</si>
  <si>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</si>
  <si>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</si>
  <si>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</si>
  <si>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</si>
  <si>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</si>
  <si>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</si>
  <si>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</si>
  <si>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</si>
  <si>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</si>
  <si>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</si>
  <si>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</si>
  <si>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</si>
  <si>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</si>
  <si>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</si>
  <si>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</si>
  <si>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</si>
  <si>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</si>
  <si>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</si>
  <si>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</si>
  <si>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</si>
  <si>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</si>
  <si>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</si>
  <si>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</si>
  <si>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</si>
  <si>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</si>
  <si>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</si>
  <si>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</si>
  <si>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</si>
  <si>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</si>
  <si>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</si>
  <si>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</si>
  <si>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</si>
  <si>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</si>
  <si>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</si>
  <si>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</si>
  <si>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</si>
  <si>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</si>
  <si>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</si>
  <si>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</si>
  <si>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</si>
  <si>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</si>
  <si>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</si>
  <si>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</si>
  <si>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</si>
  <si>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</si>
  <si>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</si>
  <si>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</si>
  <si>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</si>
  <si>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</si>
  <si>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</si>
  <si>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</si>
  <si>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</si>
  <si>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</si>
  <si>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</si>
  <si>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</si>
  <si>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</si>
  <si>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</si>
  <si>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</si>
  <si>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</si>
  <si>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</si>
  <si>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</si>
  <si>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</si>
  <si>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</si>
  <si>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</si>
  <si>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</si>
  <si>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</si>
  <si>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</si>
  <si>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</si>
  <si>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</si>
  <si>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</si>
  <si>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</si>
  <si>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</si>
  <si>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</si>
  <si>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</si>
  <si>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</si>
  <si>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</si>
  <si>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</si>
  <si>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</si>
  <si>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</si>
  <si>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</si>
  <si>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</si>
  <si>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</si>
  <si>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</si>
  <si>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</si>
  <si>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</si>
  <si>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</si>
  <si>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</si>
  <si>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</si>
  <si>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</si>
  <si>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</si>
  <si>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</si>
  <si>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</si>
  <si>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</si>
  <si>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</si>
  <si>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</si>
  <si>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</si>
  <si>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</si>
  <si>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</si>
  <si>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</si>
  <si>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</si>
  <si>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</si>
  <si>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</si>
  <si>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</si>
  <si>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</si>
  <si>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</si>
  <si>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</si>
  <si>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</si>
  <si>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</si>
  <si>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</si>
  <si>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</si>
  <si>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</si>
  <si>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</si>
  <si>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</si>
  <si>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</si>
  <si>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</si>
  <si>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</si>
  <si>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</si>
  <si>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</si>
  <si>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</si>
  <si>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</si>
  <si>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</si>
  <si>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</si>
  <si>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</si>
  <si>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</si>
  <si>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</si>
  <si>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</si>
  <si>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</si>
  <si>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</si>
  <si>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</si>
  <si>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</si>
  <si>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</si>
  <si>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</si>
  <si>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</si>
  <si>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</si>
  <si>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</si>
  <si>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</si>
  <si>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</si>
  <si>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</si>
  <si>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</si>
  <si>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</si>
  <si>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</si>
  <si>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</si>
  <si>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</si>
  <si>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</si>
  <si>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</si>
  <si>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</si>
  <si>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</si>
  <si>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</si>
  <si>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</si>
  <si>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</si>
  <si>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</si>
  <si>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</si>
  <si>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</si>
  <si>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</si>
  <si>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</si>
  <si>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</si>
  <si>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</si>
  <si>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</si>
  <si>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</si>
  <si>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</si>
  <si>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</si>
  <si>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</si>
  <si>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</si>
  <si>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</si>
  <si>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</si>
  <si>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</si>
  <si>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</si>
  <si>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</si>
  <si>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</si>
  <si>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</si>
  <si>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</si>
  <si>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</si>
  <si>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</si>
  <si>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</si>
  <si>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</si>
  <si>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</si>
  <si>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</si>
  <si>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</si>
  <si>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</si>
  <si>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</si>
  <si>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</si>
  <si>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</si>
  <si>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</si>
  <si>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</si>
  <si>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</si>
  <si>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</si>
  <si>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</si>
  <si>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</si>
  <si>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</si>
  <si>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</si>
  <si>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</si>
  <si>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</si>
  <si>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</si>
  <si>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</si>
  <si>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</si>
  <si>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</si>
  <si>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</si>
  <si>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</si>
  <si>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</si>
  <si>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</si>
  <si>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</si>
  <si>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</si>
  <si>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</si>
  <si>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</si>
  <si>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</si>
  <si>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</si>
  <si>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</si>
  <si>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</si>
  <si>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</si>
  <si>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</si>
  <si>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</si>
  <si>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</si>
  <si>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</si>
  <si>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</si>
  <si>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</si>
  <si>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</si>
  <si>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</si>
  <si>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</si>
  <si>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</si>
  <si>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</si>
  <si>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</si>
  <si>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</si>
  <si>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</si>
  <si>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</si>
  <si>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</si>
  <si>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</si>
  <si>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</si>
  <si>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</si>
  <si>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</si>
  <si>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</si>
  <si>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</si>
  <si>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</si>
  <si>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</si>
  <si>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</si>
  <si>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</si>
  <si>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</si>
  <si>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</si>
  <si>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</si>
  <si>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</si>
  <si>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</si>
  <si>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</si>
  <si>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</si>
  <si>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</si>
  <si>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</si>
  <si>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</si>
  <si>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</si>
  <si>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</si>
  <si>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</si>
  <si>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</si>
  <si>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</si>
  <si>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</si>
  <si>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</si>
  <si>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</si>
  <si>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</si>
  <si>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</si>
  <si>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</si>
  <si>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</si>
  <si>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</si>
  <si>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</si>
  <si>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</si>
  <si>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</si>
  <si>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</si>
  <si>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</si>
  <si>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</si>
  <si>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</si>
  <si>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</si>
  <si>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</si>
  <si>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</si>
  <si>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</si>
  <si>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</si>
  <si>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</si>
  <si>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</si>
  <si>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</si>
  <si>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</si>
  <si>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</si>
  <si>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</si>
  <si>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</si>
  <si>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</si>
  <si>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</si>
  <si>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</si>
  <si>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</si>
  <si>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</si>
  <si>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</si>
  <si>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</si>
  <si>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</si>
  <si>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</si>
  <si>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</si>
  <si>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</si>
  <si>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</si>
  <si>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</si>
  <si>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</si>
  <si>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</si>
  <si>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</si>
  <si>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</si>
  <si>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</si>
  <si>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</si>
  <si>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</si>
  <si>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</si>
  <si>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</si>
  <si>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</si>
  <si>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</si>
  <si>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</si>
  <si>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</si>
  <si>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</si>
  <si>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</si>
  <si>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</si>
  <si>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</si>
  <si>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</si>
  <si>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</si>
  <si>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</si>
  <si>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</si>
  <si>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</si>
  <si>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</si>
  <si>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</si>
  <si>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</si>
  <si>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</si>
  <si>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</si>
  <si>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</si>
  <si>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</si>
  <si>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</si>
  <si>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</si>
  <si>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</si>
  <si>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</si>
  <si>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</si>
  <si>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</si>
  <si>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</si>
  <si>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</si>
  <si>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</si>
  <si>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</si>
  <si>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</si>
  <si>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</si>
  <si>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</si>
  <si>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</si>
  <si>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</si>
  <si>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</si>
  <si>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</si>
  <si>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</si>
  <si>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</si>
  <si>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</si>
  <si>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</si>
  <si>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</si>
  <si>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</si>
  <si>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</si>
  <si>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</si>
  <si>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</si>
  <si>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</si>
  <si>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</si>
  <si>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</si>
  <si>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</si>
  <si>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</si>
  <si>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</si>
  <si>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</si>
  <si>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</si>
  <si>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</si>
  <si>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</si>
  <si>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</si>
  <si>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</si>
  <si>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</si>
  <si>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</si>
  <si>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</si>
  <si>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</si>
  <si>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</si>
  <si>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</si>
  <si>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</si>
  <si>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</si>
  <si>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</si>
  <si>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</si>
  <si>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</si>
  <si>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</si>
  <si>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</si>
  <si>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</si>
  <si>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</si>
  <si>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</si>
  <si>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</si>
  <si>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</si>
  <si>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</si>
  <si>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</si>
  <si>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</si>
  <si>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</si>
  <si>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</si>
  <si>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</si>
  <si>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</si>
  <si>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</si>
  <si>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</si>
  <si>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</si>
  <si>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</si>
  <si>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</si>
  <si>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</si>
  <si>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</si>
  <si>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</si>
  <si>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</si>
  <si>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</si>
  <si>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</si>
  <si>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</si>
  <si>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</si>
  <si>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</si>
  <si>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</si>
  <si>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</si>
  <si>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</si>
  <si>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</si>
  <si>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</si>
  <si>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</si>
  <si>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</si>
  <si>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</si>
  <si>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</si>
  <si>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</si>
  <si>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</si>
  <si>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</si>
  <si>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</si>
  <si>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</si>
  <si>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</si>
  <si>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</si>
  <si>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</si>
  <si>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</si>
  <si>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</si>
  <si>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</si>
  <si>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</si>
  <si>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</si>
  <si>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</si>
  <si>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</si>
  <si>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</si>
  <si>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</si>
  <si>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</si>
  <si>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</si>
  <si>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</si>
  <si>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</si>
  <si>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</si>
  <si>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</si>
  <si>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</si>
  <si>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</si>
  <si>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</si>
  <si>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</si>
  <si>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</si>
  <si>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</si>
  <si>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</si>
  <si>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</si>
  <si>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</si>
  <si>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</si>
  <si>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</si>
  <si>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</si>
  <si>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</si>
  <si>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</si>
  <si>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</si>
  <si>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</si>
  <si>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</si>
  <si>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</si>
  <si>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</si>
  <si>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</si>
  <si>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</si>
  <si>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</si>
  <si>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</si>
  <si>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</si>
  <si>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</si>
  <si>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</si>
  <si>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</si>
  <si>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</si>
  <si>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</si>
  <si>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</si>
  <si>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</si>
  <si>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</si>
  <si>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</si>
  <si>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</si>
  <si>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</si>
  <si>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</si>
  <si>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</si>
  <si>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</si>
  <si>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</si>
  <si>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</si>
  <si>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</si>
  <si>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</si>
  <si>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</si>
  <si>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</si>
  <si>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</si>
  <si>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</si>
  <si>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</si>
  <si>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</si>
  <si>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</si>
  <si>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</si>
  <si>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</si>
  <si>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</si>
  <si>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</si>
  <si>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</si>
  <si>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</si>
  <si>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</si>
  <si>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</si>
  <si>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</si>
  <si>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</si>
  <si>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</si>
  <si>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</si>
  <si>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</si>
  <si>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</si>
  <si>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</si>
  <si>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</si>
  <si>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</si>
  <si>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</si>
  <si>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</si>
  <si>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</si>
  <si>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</si>
  <si>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</si>
  <si>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</si>
  <si>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</si>
  <si>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</si>
  <si>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</si>
  <si>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</si>
  <si>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</si>
  <si>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</si>
  <si>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</si>
  <si>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</si>
  <si>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</si>
  <si>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</si>
  <si>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</si>
  <si>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</si>
  <si>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</si>
  <si>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</si>
  <si>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</si>
  <si>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</si>
  <si>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</si>
  <si>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</si>
  <si>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</si>
  <si>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</si>
  <si>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</si>
  <si>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</si>
  <si>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</si>
  <si>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</si>
  <si>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</si>
  <si>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</si>
  <si>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</si>
  <si>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</si>
  <si>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</si>
  <si>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</si>
  <si>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</si>
  <si>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</si>
  <si>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</si>
  <si>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</si>
  <si>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</si>
  <si>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</si>
  <si>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</si>
  <si>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</si>
  <si>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</si>
  <si>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</si>
  <si>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</si>
  <si>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</si>
  <si>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</si>
  <si>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</si>
  <si>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</si>
  <si>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</si>
  <si>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</si>
  <si>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</si>
  <si>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</si>
  <si>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</si>
  <si>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</si>
  <si>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</si>
  <si>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</si>
  <si>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</si>
  <si>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</si>
  <si>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</si>
  <si>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</si>
  <si>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</si>
  <si>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</si>
  <si>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</si>
  <si>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</si>
  <si>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</si>
  <si>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</si>
  <si>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</si>
  <si>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</si>
  <si>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</si>
  <si>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</si>
  <si>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</si>
  <si>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</si>
  <si>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</si>
  <si>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</si>
  <si>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</si>
  <si>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</si>
  <si>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</si>
  <si>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</si>
  <si>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</si>
  <si>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</si>
  <si>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</si>
  <si>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</si>
  <si>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</si>
  <si>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</si>
  <si>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</si>
  <si>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</si>
  <si>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</si>
  <si>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</si>
  <si>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</si>
  <si>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</si>
  <si>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</si>
  <si>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</si>
  <si>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</si>
  <si>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</si>
  <si>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</si>
  <si>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</si>
  <si>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</si>
  <si>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</si>
  <si>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</si>
  <si>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</si>
  <si>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</si>
  <si>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</si>
  <si>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</si>
  <si>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</si>
  <si>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</si>
  <si>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</si>
  <si>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</si>
  <si>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</si>
  <si>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</si>
  <si>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</si>
  <si>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</si>
  <si>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</si>
  <si>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</si>
  <si>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</si>
  <si>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</si>
  <si>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</si>
  <si>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</si>
  <si>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</si>
  <si>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</si>
  <si>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</si>
  <si>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</si>
  <si>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</si>
  <si>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</si>
  <si>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</si>
  <si>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</si>
  <si>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</si>
  <si>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</si>
  <si>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</si>
  <si>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</si>
  <si>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</si>
  <si>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</si>
  <si>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</si>
  <si>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</si>
  <si>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</si>
  <si>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</si>
  <si>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</si>
  <si>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</si>
  <si>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</si>
  <si>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</si>
  <si>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</si>
  <si>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</si>
  <si>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</si>
  <si>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</si>
  <si>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</si>
  <si>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</si>
  <si>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</si>
  <si>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</si>
  <si>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</si>
  <si>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</si>
  <si>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</si>
  <si>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</si>
  <si>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</si>
  <si>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</si>
  <si>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</si>
  <si>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</si>
  <si>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</si>
  <si>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</si>
  <si>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</si>
  <si>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</si>
  <si>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</si>
  <si>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</si>
  <si>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</si>
  <si>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</si>
  <si>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</si>
  <si>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</si>
  <si>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</si>
  <si>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</si>
  <si>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</si>
  <si>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</si>
  <si>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</si>
  <si>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</si>
  <si>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</si>
  <si>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</si>
  <si>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</si>
  <si>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</si>
  <si>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</si>
  <si>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</si>
  <si>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</si>
  <si>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</si>
  <si>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</si>
  <si>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</si>
  <si>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</si>
  <si>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</si>
  <si>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</si>
  <si>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</si>
  <si>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</si>
  <si>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</si>
  <si>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</si>
  <si>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</si>
  <si>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</si>
  <si>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</si>
  <si>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</si>
  <si>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</si>
  <si>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</si>
  <si>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</si>
  <si>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</si>
  <si>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</si>
  <si>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</si>
  <si>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</si>
  <si>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</si>
  <si>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</si>
  <si>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</si>
  <si>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</si>
  <si>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</si>
  <si>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</si>
  <si>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</si>
  <si>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</si>
  <si>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</si>
  <si>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</si>
  <si>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</si>
  <si>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</si>
  <si>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</si>
  <si>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</si>
  <si>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</si>
  <si>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</si>
  <si>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</si>
  <si>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</si>
  <si>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</si>
  <si>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</si>
  <si>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</si>
  <si>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</si>
  <si>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</si>
  <si>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</si>
  <si>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</si>
  <si>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</si>
  <si>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</si>
  <si>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</si>
  <si>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</si>
  <si>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</si>
  <si>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</si>
  <si>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</si>
  <si>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</si>
  <si>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</si>
  <si>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</si>
  <si>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</si>
  <si>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</si>
  <si>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</si>
  <si>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</si>
  <si>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</si>
  <si>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</si>
  <si>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</si>
  <si>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</si>
  <si>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</si>
  <si>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</si>
  <si>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</si>
  <si>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</si>
  <si>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</si>
  <si>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</si>
  <si>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</si>
  <si>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</si>
  <si>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</si>
  <si>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</si>
  <si>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</si>
  <si>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</si>
  <si>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</si>
  <si>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</si>
  <si>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</si>
  <si>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</si>
  <si>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</si>
  <si>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</si>
  <si>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</si>
  <si>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</si>
  <si>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</si>
  <si>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</si>
  <si>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</si>
  <si>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</si>
  <si>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</si>
  <si>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</si>
  <si>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</si>
  <si>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</si>
  <si>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</si>
  <si>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</si>
  <si>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</si>
  <si>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</si>
  <si>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</si>
  <si>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</si>
  <si>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</si>
  <si>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</si>
  <si>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</si>
  <si>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</si>
  <si>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</si>
  <si>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</si>
  <si>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</si>
  <si>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</si>
  <si>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</si>
  <si>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</si>
  <si>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</si>
  <si>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</si>
  <si>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</si>
  <si>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</si>
  <si>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</si>
  <si>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</si>
  <si>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</si>
  <si>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</si>
  <si>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</si>
  <si>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</si>
  <si>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</si>
  <si>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</si>
  <si>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</si>
  <si>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</si>
  <si>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</si>
  <si>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</si>
  <si>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</si>
  <si>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</si>
  <si>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</si>
  <si>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</si>
  <si>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</si>
  <si>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</si>
  <si>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</si>
  <si>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</si>
  <si>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</si>
  <si>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</si>
  <si>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</si>
  <si>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</si>
  <si>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</si>
  <si>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</si>
  <si>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</si>
  <si>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</si>
  <si>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</si>
  <si>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</si>
  <si>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</si>
  <si>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</si>
  <si>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</si>
  <si>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</si>
  <si>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</si>
  <si>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</si>
  <si>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</si>
  <si>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</si>
  <si>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</si>
  <si>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</si>
  <si>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</si>
  <si>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</si>
  <si>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</si>
  <si>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</si>
  <si>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</si>
  <si>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</si>
  <si>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</si>
  <si>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</si>
  <si>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</si>
  <si>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</si>
  <si>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</si>
  <si>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</si>
  <si>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</si>
  <si>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</si>
  <si>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</si>
  <si>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</si>
  <si>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</si>
  <si>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</si>
  <si>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</si>
  <si>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</si>
  <si>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</si>
  <si>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</si>
  <si>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</si>
  <si>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</si>
  <si>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</si>
  <si>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</si>
  <si>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</si>
  <si>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</si>
  <si>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</si>
  <si>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</si>
  <si>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</si>
  <si>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</si>
  <si>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</si>
  <si>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</si>
  <si>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</si>
  <si>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</si>
  <si>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</si>
  <si>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</si>
  <si>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</si>
  <si>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</si>
  <si>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</si>
  <si>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</si>
  <si>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</si>
  <si>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</si>
  <si>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</si>
  <si>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</si>
  <si>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</si>
  <si>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</si>
  <si>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</si>
  <si>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</si>
  <si>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</si>
  <si>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</si>
  <si>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</si>
  <si>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</si>
  <si>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</si>
  <si>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</si>
  <si>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</si>
  <si>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</si>
  <si>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</si>
  <si>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</si>
  <si>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</si>
  <si>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</si>
  <si>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</si>
  <si>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</si>
  <si>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</si>
  <si>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</si>
  <si>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</si>
  <si>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</si>
  <si>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</si>
  <si>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</si>
  <si>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</si>
  <si>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</si>
  <si>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</si>
  <si>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</si>
  <si>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</si>
  <si>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</si>
  <si>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</si>
  <si>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</si>
  <si>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</si>
  <si>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</si>
  <si>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</si>
  <si>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</si>
  <si>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</si>
  <si>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</si>
  <si>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</si>
  <si>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>Mc1 as 8:50h, faixa após T32 as 10h/ em intervalo as 11:21h</t>
  </si>
  <si>
    <t>MC1  as 09:57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</si>
  <si>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</si>
  <si>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</si>
  <si>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</si>
  <si>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 xml:space="preserve"> </t>
  </si>
  <si>
    <t>Mc1 as 07:21h, licença as 07:54h</t>
  </si>
  <si>
    <t>Deslocamento de TAG para TIQ</t>
  </si>
  <si>
    <t>2 (Enio e Daniel)</t>
  </si>
  <si>
    <t>Deslocamento com plataformas de dormentes de TCS para TOM</t>
  </si>
  <si>
    <t>2 (Eder e Anderson)</t>
  </si>
  <si>
    <t>N98</t>
  </si>
  <si>
    <t>Evandro</t>
  </si>
  <si>
    <t>Deslocamento vgs via de ZTP para ZTO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</si>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</sst>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H320" activePane="bottomRight" state="frozen"/>
      <selection pane="bottomRight" activeCell="BJ327" sqref="BJ3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1</v>
      </c>
      <c r="BI326" s="16"/>
      <c r="BJ326" s="16" t="s">
        <v>1864</v>
      </c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ERRO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1865</v>
      </c>
      <c r="BK327" s="16"/>
      <c r="BL327" s="15"/>
      <c r="BM327" s="14"/>
      <c r="BN327" s="14"/>
      <c r="BO327" s="165"/>
      <c r="BP327" s="16"/>
      <c r="BQ327" s="12" t="e">
        <f>IF(AND(BR327&lt;1,BS327&lt;1),"Produção e Intervalo",IF(BR327&lt;1,"Intervalo",IF(BS327&lt;1,"Produção","Aderente")))</f>
        <v>#VALUE!</v>
      </c>
      <c r="BR327" s="18" t="e">
        <f>IF(OR(B327="",F327=""),"*",AY327/P327)</f>
        <v>#VALUE!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1</v>
      </c>
      <c r="BI328" s="16"/>
      <c r="BJ328" s="16" t="s">
        <v>1866</v>
      </c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1867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1868</v>
      </c>
      <c r="BG329" s="15"/>
      <c r="BH329" s="16">
        <v>1</v>
      </c>
      <c r="BI329" s="16"/>
      <c r="BJ329" s="16" t="s">
        <v>1869</v>
      </c>
      <c r="BK329" s="16" t="s">
        <v>1870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/>
      <c r="AT330" s="240"/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1</v>
      </c>
      <c r="BI330" s="16"/>
      <c r="BJ330" s="16" t="s">
        <v>1871</v>
      </c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817</v>
      </c>
      <c r="E337" s="311">
        <v>317</v>
      </c>
      <c r="F337" s="172" t="s">
        <v>714</v>
      </c>
      <c r="G337" s="9" t="str">
        <f>IF(D337="","*",VLOOKUP(F337,BS_ATIVIDADE[#All],3,FALSE))</f>
        <v>MECANIZAÇÃO - SOCADORA</v>
      </c>
      <c r="H337" s="173" t="s">
        <v>570</v>
      </c>
      <c r="I337" s="173" t="s">
        <v>570</v>
      </c>
      <c r="J337" s="215">
        <v>74</v>
      </c>
      <c r="K337" s="215">
        <v>483</v>
      </c>
      <c r="L337" s="83">
        <v>485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37" s="173">
        <v>0.39583333333333331</v>
      </c>
      <c r="P337" s="173">
        <v>8.3333333333333329E-2</v>
      </c>
      <c r="Q337" s="83">
        <v>1020</v>
      </c>
      <c r="R337" s="10" t="str">
        <f>IFERROR(_xlfn.XLOOKUP(F337, BS_ATIVIDADE[ATIVIDADE],BS_ATIVIDADE[UNIDADE] ), "*")</f>
        <v>M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1588</v>
      </c>
      <c r="W337" s="173" t="s">
        <v>1239</v>
      </c>
      <c r="X337" s="216" t="s">
        <v>964</v>
      </c>
      <c r="Y337" s="158"/>
      <c r="Z337" s="158"/>
      <c r="AA337" s="83">
        <v>1</v>
      </c>
      <c r="AB337" s="70" t="s">
        <v>956</v>
      </c>
      <c r="AC337" s="70" t="s">
        <v>608</v>
      </c>
      <c r="AD337" s="173">
        <v>0.29166666666666669</v>
      </c>
      <c r="AE337" s="83"/>
      <c r="AF337" s="83"/>
      <c r="AG337" s="83"/>
      <c r="AH337" s="48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TBR-TGR</v>
      </c>
      <c r="AN337" s="276" t="str">
        <f>IF(BS_CONTROLE[[#This Row],[SB]]=0, "-", BS_CONTROLE[[#This Row],[SB]])</f>
        <v>TBR487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483</v>
      </c>
      <c r="AQ337" s="278">
        <f>IF(BS_CONTROLE[[#This Row],[KM - Fim]]=0, "-", BS_CONTROLE[[#This Row],[KM - Fim]])</f>
        <v>485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>
        <v>0.29166666666666669</v>
      </c>
      <c r="AE338" s="83">
        <v>9347</v>
      </c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817</v>
      </c>
      <c r="E345" s="310"/>
      <c r="F345" s="172" t="s">
        <v>714</v>
      </c>
      <c r="G345" s="9" t="s">
        <v>714</v>
      </c>
      <c r="H345" s="173" t="s">
        <v>570</v>
      </c>
      <c r="I345" s="173" t="s">
        <v>570</v>
      </c>
      <c r="J345" s="215">
        <v>74</v>
      </c>
      <c r="K345" s="215">
        <v>483</v>
      </c>
      <c r="L345" s="83">
        <v>485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45" s="173">
        <v>0.39583333333333331</v>
      </c>
      <c r="P345" s="173">
        <v>8.3333333333333329E-2</v>
      </c>
      <c r="Q345" s="83">
        <v>1020</v>
      </c>
      <c r="R345" s="10" t="str">
        <f>IFERROR(_xlfn.XLOOKUP(F345, BS_ATIVIDADE[ATIVIDADE],BS_ATIVIDADE[UNIDADE] ), "*")</f>
        <v>M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1588</v>
      </c>
      <c r="W345" s="173" t="s">
        <v>1239</v>
      </c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MECANIZAÇÃO - SOCADORA</v>
      </c>
      <c r="AJ345" s="9" t="str">
        <f>IF(D345="","*",VLOOKUP(AI345,BS_ATIVIDADE[#Data],3,FALSE))</f>
        <v>MECANIZAÇÃO - SOCADORA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TOM2</v>
      </c>
      <c r="AM345" s="276" t="str">
        <f>IF(BS_CONTROLE[[#This Row],[Entre - Estações]]=0, "-", BS_CONTROLE[[#This Row],[Entre - Estações]])</f>
        <v>TBR-TGR</v>
      </c>
      <c r="AN345" s="276" t="str">
        <f>IF(BS_CONTROLE[[#This Row],[SB]]=0, "-", BS_CONTROLE[[#This Row],[SB]])</f>
        <v>TBR487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483</v>
      </c>
      <c r="AQ345" s="278">
        <f>IF(BS_CONTROLE[[#This Row],[KM - Fim]]=0, "-", BS_CONTROLE[[#This Row],[KM - Fim]])</f>
        <v>485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 t="s">
        <v>1239</v>
      </c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844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47</v>
      </c>
      <c r="J354" s="215">
        <v>98</v>
      </c>
      <c r="K354" s="215">
        <v>500</v>
      </c>
      <c r="L354" s="83">
        <v>616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0.33333333333333331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1787</v>
      </c>
      <c r="W354" s="173" t="s">
        <v>1872</v>
      </c>
      <c r="X354" s="216" t="s">
        <v>964</v>
      </c>
      <c r="Y354" s="158"/>
      <c r="Z354" s="158"/>
      <c r="AA354" s="83" t="s">
        <v>1873</v>
      </c>
      <c r="AB354" s="70" t="s">
        <v>956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TIQ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616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817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570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173">
        <v>8.3333333333333329E-2</v>
      </c>
      <c r="Q355" s="83">
        <v>1020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1787</v>
      </c>
      <c r="W355" s="173" t="s">
        <v>1239</v>
      </c>
      <c r="X355" s="216" t="s">
        <v>964</v>
      </c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835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1787</v>
      </c>
      <c r="W356" s="173" t="s">
        <v>1874</v>
      </c>
      <c r="X356" s="216" t="s">
        <v>964</v>
      </c>
      <c r="Y356" s="158"/>
      <c r="Z356" s="158"/>
      <c r="AA356" s="83" t="s">
        <v>1875</v>
      </c>
      <c r="AB356" s="70" t="s">
        <v>956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>N9846020</v>
      </c>
      <c r="B358" s="171">
        <v>46020</v>
      </c>
      <c r="C358" s="8">
        <f>IF(BS_CONTROLE[[#This Row],[DATA]]="","",WEEKNUM(BS_CONTROLE[[#This Row],[DATA]]))</f>
        <v>53</v>
      </c>
      <c r="D358" s="51" t="s">
        <v>1876</v>
      </c>
      <c r="E358" s="310">
        <v>339</v>
      </c>
      <c r="F358" s="172" t="s">
        <v>622</v>
      </c>
      <c r="G358" s="9" t="str">
        <f>IF(D358="","*",VLOOKUP(F358,BS_ATIVIDADE[#All],3,FALSE))</f>
        <v>OUTROS</v>
      </c>
      <c r="H358" s="173" t="s">
        <v>518</v>
      </c>
      <c r="I358" s="173" t="s">
        <v>1771</v>
      </c>
      <c r="J358" s="215">
        <v>78</v>
      </c>
      <c r="K358" s="215">
        <v>334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58" s="173">
        <v>0.375</v>
      </c>
      <c r="P358" s="173">
        <v>4.1666666666666664E-2</v>
      </c>
      <c r="Q358" s="83">
        <v>1</v>
      </c>
      <c r="R358" s="10" t="str">
        <f>IFERROR(_xlfn.XLOOKUP(F358, BS_ATIVIDADE[ATIVIDADE],BS_ATIVIDADE[UNIDADE] ), "*")</f>
        <v>BINÁRIO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8" s="80" t="str">
        <f>IFERROR(_xlfn.XLOOKUP(J358, BASE_MAPA!$D$2:$D$359, BASE_MAPA!$I$2:$I$359), "ERRO")</f>
        <v>ITIRAPINA - BAURU</v>
      </c>
      <c r="V358" s="196" t="s">
        <v>1877</v>
      </c>
      <c r="W358" s="173" t="s">
        <v>1878</v>
      </c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76" t="str">
        <f>IF(BS_CONTROLE[[#This Row],[Local - Partida]]=0, "-", BS_CONTROLE[[#This Row],[Local - Partida]])</f>
        <v>ZTP</v>
      </c>
      <c r="AL358" s="276" t="str">
        <f>IF(BS_CONTROLE[[#This Row],[Local - Encerramento]]=0, "-", BS_CONTROLE[[#This Row],[Local - Encerramento]])</f>
        <v>ZTO</v>
      </c>
      <c r="AM358" s="276" t="str">
        <f>IF(BS_CONTROLE[[#This Row],[Entre - Estações]]=0, "-", BS_CONTROLE[[#This Row],[Entre - Estações]])</f>
        <v>ZAY-ZTP</v>
      </c>
      <c r="AN358" s="276" t="str">
        <f>IF(BS_CONTROLE[[#This Row],[SB]]=0, "-", BS_CONTROLE[[#This Row],[SB]])</f>
        <v>ZAYZTP</v>
      </c>
      <c r="AO358" s="277">
        <f>IF(BS_CONTROLE[[#This Row],[SUB]]=0, "-", BS_CONTROLE[[#This Row],[SUB]])</f>
        <v>78</v>
      </c>
      <c r="AP358" s="278">
        <f>IF(BS_CONTROLE[[#This Row],[KM - Inicio]]=0, "-", BS_CONTROLE[[#This Row],[KM - Inicio]])</f>
        <v>334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BINÁRIO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8" s="11" t="str">
        <f>IFERROR(_xlfn.XLOOKUP(AO358, BASE_MAPA!$D$2:$D$359, BASE_MAPA!$I$2:$I$359), "ERRO")</f>
        <v>ITIRAPINA - BAURU</v>
      </c>
      <c r="BF358" s="279" t="str">
        <f>IF(BS_CONTROLE[[#This Row],[Responsavel pelo boletim]]=0, "-", BS_CONTROLE[[#This Row],[Responsavel pelo boletim]])</f>
        <v>Evandro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787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1239</v>
      </c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35" priority="23420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4">
      <formula>$BU6=1</formula>
    </cfRule>
  </conditionalFormatting>
  <conditionalFormatting sqref="BQ235 BQ246:BQ247 BQ6:BQ232 BQ249:BQ251 BQ258:BQ260 BQ267:BQ268 BQ280:BQ599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2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5:X522">
    <cfRule type="cellIs" dxfId="3822" priority="23344" operator="equal">
      <formula>"OPORTUNIDADE"</formula>
    </cfRule>
  </conditionalFormatting>
  <conditionalFormatting sqref="Z475:Z522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5:Z522">
    <cfRule type="cellIs" dxfId="3819" priority="23341" operator="equal">
      <formula>"OPORTUNIDADE"</formula>
    </cfRule>
  </conditionalFormatting>
  <conditionalFormatting sqref="Y1048575:Y1048576">
    <cfRule type="cellIs" dxfId="3818" priority="23226" operator="equal">
      <formula>"OPORTUNIDADE"</formula>
    </cfRule>
  </conditionalFormatting>
  <conditionalFormatting sqref="Y1048575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3:Z548">
    <cfRule type="cellIs" dxfId="3815" priority="22961" operator="equal">
      <formula>"OPORTUNIDADE"</formula>
    </cfRule>
  </conditionalFormatting>
  <conditionalFormatting sqref="Z523:Z548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9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9">
    <cfRule type="cellIs" dxfId="3810" priority="22946" operator="equal">
      <formula>"OPORTUNIDADE"</formula>
    </cfRule>
  </conditionalFormatting>
  <conditionalFormatting sqref="Z549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9">
    <cfRule type="cellIs" dxfId="3807" priority="22943" operator="equal">
      <formula>"OPORTUNIDADE"</formula>
    </cfRule>
  </conditionalFormatting>
  <conditionalFormatting sqref="BI549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3">
      <formula>$BU492=1</formula>
    </cfRule>
  </conditionalFormatting>
  <conditionalFormatting sqref="AZ525:AZ549">
    <cfRule type="expression" dxfId="3805" priority="23723">
      <formula>$BU497=1</formula>
    </cfRule>
  </conditionalFormatting>
  <conditionalFormatting sqref="BI523:BI548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9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1879</v>
      </c>
      <c r="D5" s="386"/>
      <c r="E5" s="386"/>
      <c r="F5" s="386"/>
      <c r="G5" s="386"/>
      <c r="H5" s="386"/>
      <c r="I5" s="386"/>
      <c r="J5" s="387"/>
      <c r="K5" s="388" t="s">
        <v>1880</v>
      </c>
      <c r="L5" s="389"/>
      <c r="M5" s="389"/>
      <c r="N5" s="389"/>
      <c r="O5" s="390" t="s">
        <v>1881</v>
      </c>
      <c r="P5" s="391"/>
      <c r="Q5" s="392"/>
    </row>
    <row r="6" spans="1:17" s="93" customFormat="1" ht="15.75" customHeight="1">
      <c r="A6" s="87" t="s">
        <v>1882</v>
      </c>
      <c r="B6" s="94" t="s">
        <v>1883</v>
      </c>
      <c r="C6" s="95" t="s">
        <v>1171</v>
      </c>
      <c r="D6" s="96" t="s">
        <v>1172</v>
      </c>
      <c r="E6" s="95" t="s">
        <v>1884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1885</v>
      </c>
      <c r="M6" s="139" t="s">
        <v>627</v>
      </c>
      <c r="N6" s="140" t="s">
        <v>1166</v>
      </c>
      <c r="O6" s="244" t="s">
        <v>1209</v>
      </c>
      <c r="P6" s="157"/>
      <c r="Q6" s="192" t="s">
        <v>1886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1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1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1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TBR-TGR</v>
      </c>
      <c r="H337" s="154">
        <f>IF(FN_MC!K337="","*",FN_MC!K337)</f>
        <v>483</v>
      </c>
      <c r="I337" s="132">
        <f>IF(FN_MC!O337="","*",FN_MC!O337)</f>
        <v>0.39583333333333331</v>
      </c>
      <c r="J337" s="132">
        <f>IF(FN_MC!P337="","*",FN_MC!P337)</f>
        <v>8.3333333333333329E-2</v>
      </c>
      <c r="K337" s="141" t="str">
        <f>IF(FN_MC!AK337="","*",FN_MC!AK337)</f>
        <v>TOM2</v>
      </c>
      <c r="L337" s="141" t="str">
        <f>IF(FN_MC!AM337="","*",FN_MC!AM337)</f>
        <v>TBR-TGR</v>
      </c>
      <c r="M337" s="141">
        <f>IF(FN_MC!AP337="","*",FN_MC!AP337)</f>
        <v>483</v>
      </c>
      <c r="N337" s="141" t="str">
        <f>IF(FN_MC!AM337="","*",FN_MC!AM337)</f>
        <v>TBR-TGR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*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TBR-TGR</v>
      </c>
      <c r="H345" s="154">
        <f>IF(FN_MC!K345="","*",FN_MC!K345)</f>
        <v>483</v>
      </c>
      <c r="I345" s="132">
        <f>IF(FN_MC!O345="","*",FN_MC!O345)</f>
        <v>0.39583333333333331</v>
      </c>
      <c r="J345" s="132">
        <f>IF(FN_MC!P345="","*",FN_MC!P345)</f>
        <v>8.3333333333333329E-2</v>
      </c>
      <c r="K345" s="141" t="str">
        <f>IF(FN_MC!AK345="","*",FN_MC!AK345)</f>
        <v>TOM2</v>
      </c>
      <c r="L345" s="141" t="str">
        <f>IF(FN_MC!AM345="","*",FN_MC!AM345)</f>
        <v>TBR-TGR</v>
      </c>
      <c r="M345" s="141">
        <f>IF(FN_MC!AP345="","*",FN_MC!AP345)</f>
        <v>483</v>
      </c>
      <c r="N345" s="141" t="str">
        <f>IF(FN_MC!AM345="","*",FN_MC!AM345)</f>
        <v>TBR-TGR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1886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1887</v>
      </c>
      <c r="W1" s="398"/>
      <c r="X1" s="398"/>
      <c r="Y1" s="104"/>
    </row>
    <row r="2" spans="1:25" s="100" customFormat="1" ht="11.25" customHeight="1">
      <c r="A2" s="105" t="s">
        <v>1888</v>
      </c>
      <c r="B2" s="105" t="s">
        <v>1883</v>
      </c>
      <c r="C2" s="105" t="s">
        <v>603</v>
      </c>
      <c r="D2" s="106" t="s">
        <v>1171</v>
      </c>
      <c r="E2" s="106" t="s">
        <v>1172</v>
      </c>
      <c r="F2" s="106" t="s">
        <v>1882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1889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SOCADORA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TBR-TGR</v>
      </c>
      <c r="L335" s="110" t="str">
        <f>IF(FN_MC!N337="","*",FN_MC!N337)</f>
        <v>TBR487</v>
      </c>
      <c r="M335" s="111">
        <f>IF(FN_MC!J337="","*",FN_MC!J337)</f>
        <v>74</v>
      </c>
      <c r="N335" s="288">
        <f>IF(FN_MC!K337="","*",FN_MC!K337)</f>
        <v>483</v>
      </c>
      <c r="O335" s="288">
        <f>IF(FN_MC!L337="","*",FN_MC!L337)</f>
        <v>485</v>
      </c>
      <c r="P335" s="111"/>
      <c r="Q335" s="128">
        <f>IF(FN_MC!O337="","*",FN_MC!O337)</f>
        <v>0.39583333333333331</v>
      </c>
      <c r="R335" s="128">
        <f>IF(FN_MC!P337="","*",FN_MC!P337)</f>
        <v>8.3333333333333329E-2</v>
      </c>
      <c r="S335" s="110" t="str">
        <f>IF(FN_MC!Q337="","*",CONCATENATE(FN_MC!Q337," ",FN_MC!R337))</f>
        <v>1020 M</v>
      </c>
      <c r="T335" s="110" t="str">
        <f>IF(FN_MC!V337="","*",FN_MC!V337)</f>
        <v>Antonioni</v>
      </c>
      <c r="U335" s="110" t="str">
        <f>IF(FN_MC!W337="","*",FN_MC!W337)</f>
        <v>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MECANIZAÇÃO - SOCADORA</v>
      </c>
      <c r="I343" s="110" t="str">
        <f>IF(FN_MC!H345="","*",FN_MC!H345)</f>
        <v>TOM2</v>
      </c>
      <c r="J343" s="110" t="str">
        <f>IF(FN_MC!I345="","*",FN_MC!I345)</f>
        <v>TOM2</v>
      </c>
      <c r="K343" s="110" t="str">
        <f>IF(FN_MC!M345="","*",FN_MC!M345)</f>
        <v>TBR-TGR</v>
      </c>
      <c r="L343" s="110" t="str">
        <f>IF(FN_MC!N345="","*",FN_MC!N345)</f>
        <v>TBR487</v>
      </c>
      <c r="M343" s="111">
        <f>IF(FN_MC!J345="","*",FN_MC!J345)</f>
        <v>74</v>
      </c>
      <c r="N343" s="288">
        <f>IF(FN_MC!K345="","*",FN_MC!K345)</f>
        <v>483</v>
      </c>
      <c r="O343" s="288">
        <f>IF(FN_MC!L345="","*",FN_MC!L345)</f>
        <v>485</v>
      </c>
      <c r="P343" s="111"/>
      <c r="Q343" s="128">
        <f>IF(FN_MC!O345="","*",FN_MC!O345)</f>
        <v>0.39583333333333331</v>
      </c>
      <c r="R343" s="128">
        <f>IF(FN_MC!P345="","*",FN_MC!P345)</f>
        <v>8.3333333333333329E-2</v>
      </c>
      <c r="S343" s="110" t="str">
        <f>IF(FN_MC!Q345="","*",CONCATENATE(FN_MC!Q345," ",FN_MC!R345))</f>
        <v>1020 M</v>
      </c>
      <c r="T343" s="110" t="str">
        <f>IF(FN_MC!V345="","*",FN_MC!V345)</f>
        <v>Antonioni</v>
      </c>
      <c r="U343" s="110" t="str">
        <f>IF(FN_MC!W345="","*",FN_MC!W345)</f>
        <v>Socaria mecanizada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TIQ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616</v>
      </c>
      <c r="P352" s="111"/>
      <c r="Q352" s="128">
        <f>IF(FN_MC!O354="","*",FN_MC!O354)</f>
        <v>0.33333333333333331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TIQ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MALHA CENTRAL</v>
      </c>
      <c r="E355" s="110" t="str">
        <f>IF(FN_MC!T358="","*",FN_MC!T358)</f>
        <v>RAMAL</v>
      </c>
      <c r="F355" s="110">
        <f>IF(FN_MC!B358="","*",FN_MC!B358)</f>
        <v>46020</v>
      </c>
      <c r="G355" s="110" t="str">
        <f>IF(FN_MC!D358="","*",FN_MC!D358)</f>
        <v>N98</v>
      </c>
      <c r="H355" s="110" t="str">
        <f>IF(FN_MC!F358="","*",FN_MC!F358)</f>
        <v>DESLOCAMENTO</v>
      </c>
      <c r="I355" s="110" t="str">
        <f>IF(FN_MC!H358="","*",FN_MC!H358)</f>
        <v>ZTP</v>
      </c>
      <c r="J355" s="110" t="str">
        <f>IF(FN_MC!I358="","*",FN_MC!I358)</f>
        <v>ZTO</v>
      </c>
      <c r="K355" s="110" t="str">
        <f>IF(FN_MC!M358="","*",FN_MC!M358)</f>
        <v>ZAY-ZTP</v>
      </c>
      <c r="L355" s="110" t="str">
        <f>IF(FN_MC!N358="","*",FN_MC!N358)</f>
        <v>ZAYZTP</v>
      </c>
      <c r="M355" s="111">
        <f>IF(FN_MC!J358="","*",FN_MC!J358)</f>
        <v>78</v>
      </c>
      <c r="N355" s="288">
        <f>IF(FN_MC!K358="","*",FN_MC!K358)</f>
        <v>334</v>
      </c>
      <c r="O355" s="288" t="str">
        <f>IF(FN_MC!L358="","*",FN_MC!L358)</f>
        <v>-</v>
      </c>
      <c r="P355" s="111"/>
      <c r="Q355" s="128">
        <f>IF(FN_MC!O358="","*",FN_MC!O358)</f>
        <v>0.375</v>
      </c>
      <c r="R355" s="128">
        <f>IF(FN_MC!P358="","*",FN_MC!P358)</f>
        <v>4.1666666666666664E-2</v>
      </c>
      <c r="S355" s="110" t="str">
        <f>IF(FN_MC!Q358="","*",CONCATENATE(FN_MC!Q358," ",FN_MC!R358))</f>
        <v>1 BINÁRIO</v>
      </c>
      <c r="T355" s="110" t="str">
        <f>IF(FN_MC!V358="","*",FN_MC!V358)</f>
        <v>Evandro</v>
      </c>
      <c r="U355" s="110" t="str">
        <f>IF(FN_MC!W358="","*",FN_MC!W358)</f>
        <v>Deslocamento vgs via de ZTP para ZTO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1890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1891</v>
      </c>
      <c r="C2" s="95" t="s">
        <v>1157</v>
      </c>
      <c r="D2" s="95" t="s">
        <v>596</v>
      </c>
      <c r="E2" s="95" t="s">
        <v>1892</v>
      </c>
      <c r="F2" s="95" t="s">
        <v>1893</v>
      </c>
      <c r="G2" s="95" t="s">
        <v>1894</v>
      </c>
      <c r="H2" s="95" t="s">
        <v>1895</v>
      </c>
      <c r="I2" s="95" t="s">
        <v>1896</v>
      </c>
      <c r="J2" s="95" t="s">
        <v>1897</v>
      </c>
      <c r="K2" s="131" t="s">
        <v>1898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TBR-TGR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>
        <f>IF(FN_MC!AD338="","*",FN_MC!AD338)</f>
        <v>0.29166666666666669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TBR-TGR</v>
      </c>
      <c r="G343" s="121" t="str">
        <f>IF(FN_MC!I345="","*",FN_MC!I345)</f>
        <v>TOM2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TIQ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N98</v>
      </c>
      <c r="E356" s="121" t="str">
        <f>IF(FN_MC!H358="","*",FN_MC!H358)</f>
        <v>ZTP</v>
      </c>
      <c r="F356" s="137" t="str">
        <f>IF(FN_MC!M358="","*",FN_MC!M358)</f>
        <v>ZAY-ZTP</v>
      </c>
      <c r="G356" s="121" t="str">
        <f>IF(FN_MC!I358="","*",FN_MC!I358)</f>
        <v>ZTO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1899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1900</v>
      </c>
      <c r="C4" s="318" t="s">
        <v>1901</v>
      </c>
      <c r="D4" s="318" t="s">
        <v>1902</v>
      </c>
      <c r="E4" s="318" t="s">
        <v>1903</v>
      </c>
      <c r="F4" s="318" t="s">
        <v>6</v>
      </c>
      <c r="G4" s="318" t="s">
        <v>1904</v>
      </c>
      <c r="H4" s="191"/>
    </row>
    <row r="5" spans="1:8">
      <c r="A5" s="191"/>
      <c r="B5" s="319" t="s">
        <v>1905</v>
      </c>
      <c r="C5" s="319">
        <v>309525</v>
      </c>
      <c r="D5" s="319" t="s">
        <v>1906</v>
      </c>
      <c r="E5" s="319" t="s">
        <v>844</v>
      </c>
      <c r="F5" s="319" t="s">
        <v>1907</v>
      </c>
      <c r="G5" s="320">
        <v>46296</v>
      </c>
      <c r="H5" s="191"/>
    </row>
    <row r="6" spans="1:8">
      <c r="A6" s="191"/>
      <c r="B6" s="319" t="s">
        <v>1908</v>
      </c>
      <c r="C6" s="319">
        <v>256875</v>
      </c>
      <c r="D6" s="319" t="s">
        <v>1909</v>
      </c>
      <c r="E6" s="319" t="s">
        <v>844</v>
      </c>
      <c r="F6" s="319" t="s">
        <v>1907</v>
      </c>
      <c r="G6" s="320">
        <v>46296</v>
      </c>
      <c r="H6" s="191"/>
    </row>
    <row r="7" spans="1:8">
      <c r="A7" s="191"/>
      <c r="B7" s="319" t="s">
        <v>1910</v>
      </c>
      <c r="C7" s="319">
        <v>257278</v>
      </c>
      <c r="D7" s="319" t="s">
        <v>1911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1912</v>
      </c>
      <c r="C8" s="319">
        <v>261794</v>
      </c>
      <c r="D8" s="319" t="s">
        <v>1913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1914</v>
      </c>
      <c r="C9" s="319">
        <v>257033</v>
      </c>
      <c r="D9" s="319" t="s">
        <v>1915</v>
      </c>
      <c r="E9" s="319" t="s">
        <v>835</v>
      </c>
      <c r="F9" s="319" t="s">
        <v>192</v>
      </c>
      <c r="G9" s="319" t="s">
        <v>1916</v>
      </c>
      <c r="H9" s="191"/>
    </row>
    <row r="10" spans="1:8">
      <c r="A10" s="191"/>
      <c r="B10" s="319" t="s">
        <v>1917</v>
      </c>
      <c r="C10" s="319">
        <v>396578</v>
      </c>
      <c r="D10" s="319" t="s">
        <v>1918</v>
      </c>
      <c r="E10" s="319" t="s">
        <v>835</v>
      </c>
      <c r="F10" s="319" t="s">
        <v>192</v>
      </c>
      <c r="G10" s="319" t="s">
        <v>1916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1919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1920</v>
      </c>
      <c r="E3" s="315" t="s">
        <v>1921</v>
      </c>
      <c r="F3" s="315" t="s">
        <v>1922</v>
      </c>
      <c r="G3" s="315" t="s">
        <v>1923</v>
      </c>
      <c r="H3" s="315" t="s">
        <v>1924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1925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1926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2025-12-26T14:31:55Z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