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845" documentId="8_{B6337239-1A00-434D-AAD0-422EA1FEB5AE}" xr6:coauthVersionLast="47" xr6:coauthVersionMax="47" xr10:uidLastSave="{17FC2C83-B3C6-497F-8633-E80A0D8AF15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0" i="1" a="1"/>
  <c r="N190" i="1" s="1"/>
  <c r="M190" i="1" a="1"/>
  <c r="M190" i="1" s="1"/>
  <c r="M189" i="1" a="1"/>
  <c r="M189" i="1" s="1"/>
  <c r="N186" i="1" a="1"/>
  <c r="N186" i="1" s="1"/>
  <c r="M186" i="1" a="1"/>
  <c r="M186" i="1" s="1"/>
  <c r="A174" i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K180" i="12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C521" i="1" s="1" a="1"/>
  <c r="BC521" i="1" s="1"/>
  <c r="AP521" i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R245" i="1" s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R260" i="1" s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H179" i="12"/>
  <c r="H180" i="12"/>
  <c r="H181" i="12"/>
  <c r="H182" i="12"/>
  <c r="H183" i="12"/>
  <c r="H184" i="12"/>
  <c r="H185" i="12"/>
  <c r="H186" i="12"/>
  <c r="H187" i="12"/>
  <c r="H188" i="12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L187" i="12"/>
  <c r="K187" i="12"/>
  <c r="L186" i="12"/>
  <c r="K186" i="12"/>
  <c r="L185" i="12"/>
  <c r="K185" i="12"/>
  <c r="L184" i="12"/>
  <c r="K184" i="12"/>
  <c r="L183" i="12"/>
  <c r="K183" i="12"/>
  <c r="L182" i="12"/>
  <c r="N185" i="1" a="1"/>
  <c r="N185" i="1" s="1"/>
  <c r="L181" i="12" s="1"/>
  <c r="M185" i="1" a="1"/>
  <c r="M185" i="1" s="1"/>
  <c r="L180" i="12"/>
  <c r="L179" i="12"/>
  <c r="K179" i="12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51" i="1"/>
  <c r="R254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R167" i="1" l="1"/>
  <c r="R187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R189" i="1"/>
  <c r="BS188" i="1"/>
  <c r="R186" i="1"/>
  <c r="BS185" i="1"/>
  <c r="AI184" i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AI183" i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AI188" i="1"/>
  <c r="AI185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8" i="1" l="1"/>
  <c r="AJ188" i="1"/>
  <c r="BB192" i="1"/>
  <c r="AJ192" i="1"/>
  <c r="BB191" i="1"/>
  <c r="AJ191" i="1"/>
  <c r="BB190" i="1"/>
  <c r="AJ190" i="1"/>
  <c r="BB189" i="1"/>
  <c r="AJ189" i="1"/>
  <c r="BB187" i="1"/>
  <c r="AJ187" i="1"/>
  <c r="BB186" i="1"/>
  <c r="AJ186" i="1"/>
  <c r="BB185" i="1"/>
  <c r="AJ185" i="1"/>
  <c r="BB184" i="1"/>
  <c r="AJ184" i="1"/>
  <c r="BB183" i="1"/>
  <c r="AJ183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<sst xmlns="http://schemas.openxmlformats.org/spreadsheetml/2006/main" count="7723" uniqueCount="1699">
  <si>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</si>
  <si>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</si>
  <si>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</si>
  <si>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</si>
  <si>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</si>
  <si>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</si>
  <si>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</si>
  <si>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</si>
  <si>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</si>
  <si>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</si>
  <si>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</si>
  <si>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</si>
  <si>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</si>
  <si>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</si>
  <si>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</si>
  <si>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</si>
  <si>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</si>
  <si>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</si>
  <si>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</si>
  <si>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</si>
  <si>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</si>
  <si>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</si>
  <si>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</si>
  <si>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</si>
  <si>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</si>
  <si>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</si>
  <si>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</si>
  <si>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</si>
  <si>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</si>
  <si>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</si>
  <si>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</si>
  <si>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</si>
  <si>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</si>
  <si>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</si>
  <si>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</si>
  <si>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</si>
  <si>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</si>
  <si>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</si>
  <si>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</si>
  <si>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</si>
  <si>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</si>
  <si>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</si>
  <si>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</si>
  <si>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</si>
  <si>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</si>
  <si>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</si>
  <si>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</si>
  <si>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</si>
  <si>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</si>
  <si>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</si>
  <si>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</si>
  <si>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</si>
  <si>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</si>
  <si>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</si>
  <si>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</si>
  <si>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</si>
  <si>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</si>
  <si>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</si>
  <si>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</si>
  <si>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</si>
  <si>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</si>
  <si>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</si>
  <si>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</si>
  <si>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</si>
  <si>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</si>
  <si>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</si>
  <si>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</si>
  <si>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</si>
  <si>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</si>
  <si>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</si>
  <si>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</si>
  <si>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</si>
  <si>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</si>
  <si>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</si>
  <si>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</si>
  <si>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</si>
  <si>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</si>
  <si>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</si>
  <si>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</si>
  <si>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</si>
  <si>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</si>
  <si>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</si>
  <si>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</si>
  <si>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</si>
  <si>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</si>
  <si>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</si>
  <si>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</si>
  <si>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</si>
  <si>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</si>
  <si>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</si>
  <si>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</si>
  <si>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</si>
  <si>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</si>
  <si>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</si>
  <si>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</si>
  <si>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</si>
  <si>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</si>
  <si>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</si>
  <si>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</si>
  <si>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</si>
  <si>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</si>
  <si>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</si>
  <si>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</si>
  <si>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</si>
  <si>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</si>
  <si>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</si>
  <si>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</si>
  <si>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</si>
  <si>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</si>
  <si>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</si>
  <si>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</si>
  <si>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</si>
  <si>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</si>
  <si>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</si>
  <si>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</si>
  <si>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</si>
  <si>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</si>
  <si>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</si>
  <si>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</si>
  <si>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</si>
  <si>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</si>
  <si>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</si>
  <si>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</si>
  <si>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</si>
  <si>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</si>
  <si>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</si>
  <si>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</si>
  <si>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</si>
  <si>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</si>
  <si>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</si>
  <si>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</si>
  <si>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</si>
  <si>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</si>
  <si>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</si>
  <si>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</si>
  <si>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</si>
  <si>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</si>
  <si>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</si>
  <si>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</si>
  <si>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</si>
  <si>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</si>
  <si>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</si>
  <si>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</si>
  <si>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</si>
  <si>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</si>
  <si>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</si>
  <si>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</si>
  <si>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</si>
  <si>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</si>
  <si>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</si>
  <si>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</si>
  <si>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</si>
  <si>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</si>
  <si>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</si>
  <si>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</si>
  <si>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</si>
  <si>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</si>
  <si>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</si>
  <si>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</si>
  <si>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</si>
  <si>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</si>
  <si>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</si>
  <si>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</si>
  <si>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</si>
  <si>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</si>
  <si>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</si>
  <si>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</si>
  <si>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</si>
  <si>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</si>
  <si>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</si>
  <si>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</si>
  <si>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</si>
  <si>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</si>
  <si>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</si>
  <si>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</si>
  <si>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</si>
  <si>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</si>
  <si>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</si>
  <si>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</si>
  <si>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</si>
  <si>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</si>
  <si>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</si>
  <si>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</si>
  <si>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</si>
  <si>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</si>
  <si>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</si>
  <si>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</si>
  <si>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</si>
  <si>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</si>
  <si>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</si>
  <si>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</si>
  <si>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</si>
  <si>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</si>
  <si>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</si>
  <si>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</si>
  <si>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</si>
  <si>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</si>
  <si>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</si>
  <si>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</si>
  <si>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</si>
  <si>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</si>
  <si>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</si>
  <si>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</si>
  <si>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</si>
  <si>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</si>
  <si>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</si>
  <si>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</si>
  <si>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</si>
  <si>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</si>
  <si>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</si>
  <si>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</si>
  <si>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</si>
  <si>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</si>
  <si>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</si>
  <si>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</si>
  <si>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</si>
  <si>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</si>
  <si>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</si>
  <si>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</si>
  <si>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</si>
  <si>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</si>
  <si>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</si>
  <si>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</si>
  <si>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</si>
  <si>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</si>
  <si>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</si>
  <si>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</si>
  <si>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</si>
  <si>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</si>
  <si>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</si>
  <si>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</si>
  <si>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</si>
  <si>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</si>
  <si>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</si>
  <si>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</si>
  <si>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</si>
  <si>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</si>
  <si>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</si>
  <si>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</si>
  <si>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</si>
  <si>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</si>
  <si>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</si>
  <si>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</si>
  <si>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</si>
  <si>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</si>
  <si>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</si>
  <si>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</si>
  <si>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</si>
  <si>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</si>
  <si>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</si>
  <si>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</si>
  <si>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</si>
  <si>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</si>
  <si>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</si>
  <si>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</si>
  <si>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</si>
  <si>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</si>
  <si>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</si>
  <si>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</si>
  <si>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</si>
  <si>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</si>
  <si>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</si>
  <si>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</si>
  <si>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</si>
  <si>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</si>
  <si>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</si>
  <si>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</si>
  <si>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</si>
  <si>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</si>
  <si>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</si>
  <si>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</si>
  <si>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</si>
  <si>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</si>
  <si>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</si>
  <si>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</si>
  <si>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</si>
  <si>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</si>
  <si>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</si>
  <si>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</si>
  <si>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</si>
  <si>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</si>
  <si>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</si>
  <si>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</si>
  <si>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</si>
  <si>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</si>
  <si>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</si>
  <si>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</si>
  <si>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</si>
  <si>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</si>
  <si>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</si>
  <si>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</si>
  <si>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</si>
  <si>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</si>
  <si>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</si>
  <si>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</si>
  <si>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</si>
  <si>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</si>
  <si>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</si>
  <si>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</si>
  <si>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</si>
  <si>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</si>
  <si>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</si>
  <si>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</si>
  <si>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</si>
  <si>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</si>
  <si>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</si>
  <si>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</si>
  <si>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</si>
  <si>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</si>
  <si>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</si>
  <si>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</si>
  <si>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</si>
  <si>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</si>
  <si>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</si>
  <si>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</si>
  <si>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</si>
  <si>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</si>
  <si>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</si>
  <si>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</si>
  <si>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</si>
  <si>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</si>
  <si>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</si>
  <si>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</si>
  <si>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</si>
  <si>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</si>
  <si>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</si>
  <si>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</si>
  <si>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</si>
  <si>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</si>
  <si>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</si>
  <si>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</si>
  <si>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</si>
  <si>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</si>
  <si>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</si>
  <si>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</si>
  <si>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</si>
  <si>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</si>
  <si>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</si>
  <si>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</si>
  <si>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</si>
  <si>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</si>
  <si>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</si>
  <si>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</si>
  <si>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</si>
  <si>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</si>
  <si>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</si>
  <si>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</si>
  <si>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</si>
  <si>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</si>
  <si>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</si>
  <si>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</si>
  <si>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</si>
  <si>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</si>
  <si>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</si>
  <si>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</si>
  <si>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</si>
  <si>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</si>
  <si>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</si>
  <si>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</si>
  <si>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</si>
  <si>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</si>
  <si>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</si>
  <si>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</si>
  <si>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</si>
  <si>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</si>
  <si>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</si>
  <si>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</si>
  <si>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</si>
  <si>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</si>
  <si>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</si>
  <si>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</si>
  <si>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</si>
  <si>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</si>
  <si>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</si>
  <si>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</si>
  <si>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</si>
  <si>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</si>
  <si>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</si>
  <si>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</si>
  <si>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</si>
  <si>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</si>
  <si>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</si>
  <si>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</si>
  <si>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</si>
  <si>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</si>
  <si>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</si>
  <si>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</si>
  <si>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</si>
  <si>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</si>
  <si>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</si>
  <si>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</si>
  <si>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</si>
  <si>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</si>
  <si>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</si>
  <si>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</si>
  <si>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</si>
  <si>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</si>
  <si>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</si>
  <si>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</si>
  <si>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</si>
  <si>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</si>
  <si>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</si>
  <si>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</si>
  <si>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</si>
  <si>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</si>
  <si>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</si>
  <si>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</si>
  <si>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</si>
  <si>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</si>
  <si>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</si>
  <si>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</si>
  <si>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</si>
  <si>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</si>
  <si>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</si>
  <si>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</si>
  <si>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</si>
  <si>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</si>
  <si>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</si>
  <si>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</si>
  <si>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</si>
  <si>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</si>
  <si>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</si>
  <si>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</si>
  <si>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</si>
  <si>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</si>
  <si>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</si>
  <si>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</si>
  <si>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</si>
  <si>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</si>
  <si>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</si>
  <si>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</si>
  <si>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</si>
  <si>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</si>
  <si>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</si>
  <si>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</si>
  <si>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</si>
  <si>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</si>
  <si>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</si>
  <si>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</si>
  <si>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</si>
  <si>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</si>
  <si>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</si>
  <si>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</si>
  <si>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</si>
  <si>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</si>
  <si>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</si>
  <si>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</si>
  <si>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</si>
  <si>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</si>
  <si>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</si>
  <si>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</si>
  <si>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</si>
  <si>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</si>
  <si>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</si>
  <si>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</si>
  <si>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</si>
  <si>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</si>
  <si>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</si>
  <si>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</si>
  <si>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</si>
  <si>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</si>
  <si>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</si>
  <si>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</si>
  <si>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</si>
  <si>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</si>
  <si>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</si>
  <si>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</si>
  <si>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</si>
  <si>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</si>
  <si>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</si>
  <si>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</si>
  <si>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</si>
  <si>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</si>
  <si>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</si>
  <si>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</si>
  <si>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</si>
  <si>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</si>
  <si>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</si>
  <si>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</si>
  <si>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</si>
  <si>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</si>
  <si>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</si>
  <si>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</si>
  <si>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</si>
  <si>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</si>
  <si>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</si>
  <si>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</si>
  <si>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</si>
  <si>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</si>
  <si>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</si>
  <si>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</si>
  <si>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</si>
  <si>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</si>
  <si>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</si>
  <si>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</si>
  <si>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</si>
  <si>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</si>
  <si>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</si>
  <si>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</si>
  <si>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</si>
  <si>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</si>
  <si>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</si>
  <si>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</si>
  <si>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</si>
  <si>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</si>
  <si>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</si>
  <si>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</si>
  <si>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</si>
  <si>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</si>
  <si>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</si>
  <si>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</si>
  <si>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</si>
  <si>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</si>
  <si>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</si>
  <si>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</si>
  <si>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</si>
  <si>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</si>
  <si>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</si>
  <si>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</si>
  <si>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</si>
  <si>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</si>
  <si>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</si>
  <si>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</si>
  <si>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</si>
  <si>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</si>
  <si>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</si>
  <si>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</si>
  <si>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</si>
  <si>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</si>
  <si>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</si>
  <si>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</si>
  <si>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</si>
  <si>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</si>
  <si>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</si>
  <si>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</si>
  <si>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</si>
  <si>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</si>
  <si>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</si>
  <si>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</si>
  <si>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</si>
  <si>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</si>
  <si>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</si>
  <si>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</si>
  <si>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</si>
  <si>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</si>
  <si>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</si>
  <si>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</si>
  <si>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</si>
  <si>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</si>
  <si>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</si>
  <si>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</si>
  <si>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</si>
  <si>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</si>
  <si>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</si>
  <si>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</si>
  <si>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</si>
  <si>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</si>
  <si>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</si>
  <si>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</si>
  <si>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</si>
  <si>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</si>
  <si>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</si>
  <si>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</si>
  <si>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</si>
  <si>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</si>
  <si>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</si>
  <si>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</si>
  <si>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</si>
  <si>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</si>
  <si>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</si>
  <si>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</si>
  <si>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</si>
  <si>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</si>
  <si>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</si>
  <si>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</si>
  <si>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</si>
  <si>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</si>
  <si>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</si>
  <si>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</si>
  <si>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</si>
  <si>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</si>
  <si>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</si>
  <si>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</si>
  <si>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</si>
  <si>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</si>
  <si>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</si>
  <si>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</si>
  <si>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</si>
  <si>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</si>
  <si>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</si>
  <si>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</si>
  <si>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</si>
  <si>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</si>
  <si>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</si>
  <si>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</si>
  <si>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</si>
  <si>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</si>
  <si>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</si>
  <si>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</si>
  <si>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</si>
  <si>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</si>
  <si>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</si>
  <si>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</si>
  <si>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</si>
  <si>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</si>
  <si>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</si>
  <si>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</si>
  <si>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</si>
  <si>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</si>
  <si>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</si>
  <si>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</si>
  <si>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</si>
  <si>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</si>
  <si>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</si>
  <si>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</si>
  <si>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</si>
  <si>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</si>
  <si>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</si>
  <si>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</si>
  <si>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</si>
  <si>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</si>
  <si>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</si>
  <si>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</si>
  <si>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</si>
  <si>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</si>
  <si>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</si>
  <si>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</si>
  <si>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</si>
  <si>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</si>
  <si>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</si>
  <si>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</si>
  <si>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</si>
  <si>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</si>
  <si>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</si>
  <si>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</si>
  <si>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</si>
  <si>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</si>
  <si>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</si>
  <si>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</si>
  <si>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</si>
  <si>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</si>
  <si>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</si>
  <si>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</si>
  <si>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</si>
  <si>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</si>
  <si>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</si>
  <si>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</si>
  <si>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</si>
  <si>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</si>
  <si>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</si>
  <si>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</si>
  <si>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</si>
  <si>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</si>
  <si>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</si>
  <si>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</si>
  <si>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</si>
  <si>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</si>
  <si>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</si>
  <si>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</si>
  <si>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</si>
  <si>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</si>
  <si>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</si>
  <si>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</si>
  <si>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</si>
  <si>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</si>
  <si>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</si>
  <si>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</si>
  <si>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</si>
  <si>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</si>
  <si>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</si>
  <si>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</si>
  <si>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</si>
  <si>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</si>
  <si>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</si>
  <si>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</si>
  <si>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</si>
  <si>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</si>
  <si>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</si>
  <si>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</si>
  <si>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</si>
  <si>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</si>
  <si>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</si>
  <si>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</si>
  <si>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</si>
  <si>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</si>
  <si>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</si>
  <si>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</si>
  <si>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</si>
  <si>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</si>
  <si>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</si>
  <si>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</si>
  <si>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</si>
  <si>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</si>
  <si>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</si>
  <si>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</si>
  <si>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</si>
  <si>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</si>
  <si>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</si>
  <si>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</si>
  <si>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</si>
  <si>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</si>
  <si>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</si>
  <si>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</si>
  <si>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</si>
  <si>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</si>
  <si>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</si>
  <si>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</si>
  <si>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</si>
  <si>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</si>
  <si>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</si>
  <si>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</si>
  <si>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</si>
  <si>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</si>
  <si>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</si>
  <si>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</si>
  <si>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</si>
  <si>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</si>
  <si>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</si>
  <si>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</si>
  <si>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</si>
  <si>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</si>
  <si>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</si>
  <si>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</si>
  <si>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</si>
  <si>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</si>
  <si>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</si>
  <si>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</si>
  <si>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</si>
  <si>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</si>
  <si>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</si>
  <si>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</si>
  <si>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</si>
  <si>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</si>
  <si>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</si>
  <si>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</si>
  <si>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</si>
  <si>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</si>
  <si>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</si>
  <si>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</si>
  <si>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</si>
  <si>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</si>
  <si>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</si>
  <si>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</si>
  <si>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</si>
  <si>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</si>
  <si>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</si>
  <si>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</si>
  <si>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</si>
  <si>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</si>
  <si>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</si>
  <si>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</si>
  <si>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</si>
  <si>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</si>
  <si>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</si>
  <si>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</si>
  <si>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</si>
  <si>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</si>
  <si>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</si>
  <si>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</si>
  <si>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</si>
  <si>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</si>
  <si>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</si>
  <si>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</si>
  <si>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</si>
  <si>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</si>
  <si>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</si>
  <si>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</si>
  <si>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</si>
  <si>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</si>
  <si>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</si>
  <si>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</si>
  <si>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</si>
  <si>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</si>
  <si>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</si>
  <si>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</si>
  <si>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</si>
  <si>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</si>
  <si>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</si>
  <si>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</si>
  <si>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</si>
  <si>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</si>
  <si>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</si>
  <si>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</si>
  <si>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</si>
  <si>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</si>
  <si>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</si>
  <si>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</si>
  <si>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</si>
  <si>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</si>
  <si>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</si>
  <si>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</si>
  <si>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</si>
  <si>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</si>
  <si>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</si>
  <si>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</si>
  <si>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</si>
  <si>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</si>
  <si>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</si>
  <si>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</si>
  <si>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</si>
  <si>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</si>
  <si>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</si>
  <si>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</si>
  <si>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</si>
  <si>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</si>
  <si>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</si>
  <si>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</si>
  <si>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</si>
  <si>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</si>
  <si>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</si>
  <si>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</si>
  <si>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</si>
  <si>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</si>
  <si>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</si>
  <si>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</si>
  <si>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</si>
  <si>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</si>
  <si>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</si>
  <si>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</si>
  <si>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</si>
  <si>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</si>
  <si>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</si>
  <si>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</si>
  <si>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</si>
  <si>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</si>
  <si>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</si>
  <si>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</si>
  <si>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</si>
  <si>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</si>
  <si>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</si>
  <si>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</si>
  <si>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</si>
  <si>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</si>
  <si>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</si>
  <si>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</si>
  <si>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</si>
  <si>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</si>
  <si>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</si>
  <si>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</si>
  <si>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</si>
  <si>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</si>
  <si>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</si>
  <si>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</si>
  <si>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</si>
  <si>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</si>
  <si>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</si>
  <si>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</si>
  <si>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</si>
  <si>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</si>
  <si>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</si>
  <si>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</si>
  <si>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</si>
  <si>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</si>
  <si>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</si>
  <si>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</si>
  <si>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</si>
  <si>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</si>
  <si>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</si>
  <si>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</si>
  <si>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</si>
  <si>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</si>
  <si>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</si>
  <si>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</si>
  <si>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</si>
  <si>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</si>
  <si>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</si>
  <si>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</si>
  <si>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</si>
  <si>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</si>
  <si>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</si>
  <si>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</si>
  <si>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</si>
  <si>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</si>
  <si>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</si>
  <si>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</si>
  <si>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</si>
  <si>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</si>
  <si>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</si>
  <si>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</si>
  <si>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</si>
  <si>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</si>
  <si>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</si>
  <si>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</si>
  <si>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</si>
  <si>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</si>
  <si>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</si>
  <si>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</si>
  <si>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</si>
  <si>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</si>
  <si>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</si>
  <si>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</si>
  <si>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</si>
  <si>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</si>
  <si>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</si>
  <si>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</si>
  <si>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</si>
  <si>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</si>
  <si>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</si>
  <si>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</si>
  <si>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</si>
  <si>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</si>
  <si>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</si>
  <si>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</si>
  <si>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</si>
  <si>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</si>
  <si>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</si>
  <si>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</si>
  <si>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</si>
  <si>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</si>
  <si>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</si>
  <si>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</si>
  <si>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</si>
  <si>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</si>
  <si>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</si>
  <si>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</si>
  <si>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</si>
  <si>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</si>
  <si>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</si>
  <si>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</si>
  <si>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</si>
  <si>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</si>
  <si>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</si>
  <si>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</si>
  <si>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</si>
  <si>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</si>
  <si>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</si>
  <si>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</si>
  <si>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</si>
  <si>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</si>
  <si>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</si>
  <si>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</si>
  <si>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</si>
  <si>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</si>
  <si>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</si>
  <si>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</si>
  <si>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</si>
  <si>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</si>
  <si>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</si>
  <si>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</si>
  <si>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</si>
  <si>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</si>
  <si>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</si>
  <si>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</si>
  <si>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</si>
  <si>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</si>
  <si>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</si>
  <si>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</si>
  <si>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</si>
  <si>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</si>
  <si>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</si>
  <si>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</si>
  <si>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</si>
  <si>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</si>
  <si>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</si>
  <si>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</si>
  <si>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</si>
  <si>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</si>
  <si>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</si>
  <si>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</si>
  <si>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</si>
  <si>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</si>
  <si>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</si>
  <si>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</si>
  <si>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</si>
  <si>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</si>
  <si>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</si>
  <si>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</si>
  <si>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</si>
  <si>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</si>
  <si>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</si>
  <si>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</si>
  <si>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</si>
  <si>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</si>
  <si>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</si>
  <si>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</si>
  <si>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</si>
  <si>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</si>
  <si>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</si>
  <si>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</si>
  <si>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</si>
  <si>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</si>
  <si>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</si>
  <si>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</si>
  <si>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</si>
  <si>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</si>
  <si>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</si>
  <si>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</si>
  <si>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</si>
  <si>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</si>
  <si>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</si>
  <si>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</si>
  <si>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</si>
  <si>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</si>
  <si>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</si>
  <si>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</si>
  <si>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</si>
  <si>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</si>
  <si>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</si>
  <si>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</si>
  <si>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</si>
  <si>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</si>
  <si>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</si>
  <si>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</si>
  <si>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</si>
  <si>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</si>
  <si>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</si>
  <si>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</si>
  <si>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</si>
  <si>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</si>
  <si>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</si>
  <si>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</si>
  <si>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</si>
  <si>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</si>
  <si>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</si>
  <si>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</si>
  <si>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</si>
  <si>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</si>
  <si>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</si>
  <si>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</si>
  <si>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</si>
  <si>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</si>
  <si>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</si>
  <si>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</si>
  <si>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</si>
  <si>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</si>
  <si>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</si>
  <si>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</si>
  <si>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</si>
  <si>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</si>
  <si>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</si>
  <si>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</si>
  <si>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</si>
  <si>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</si>
  <si>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</si>
  <si>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</si>
  <si>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</si>
  <si>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</si>
  <si>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</si>
  <si>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</si>
  <si>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</si>
  <si>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</si>
  <si>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</si>
  <si>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</si>
  <si>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</si>
  <si>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</si>
  <si>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</si>
  <si>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</si>
  <si>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</si>
  <si>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</si>
  <si>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</si>
  <si>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</si>
  <si>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</si>
  <si>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</si>
  <si>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</si>
  <si>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</si>
  <si>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</si>
  <si>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</si>
  <si>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</si>
  <si>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</si>
  <si>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</si>
  <si>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</si>
  <si>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</si>
  <si>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</si>
  <si>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</si>
  <si>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</si>
  <si>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</si>
  <si>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</si>
  <si>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</si>
  <si>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</si>
  <si>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</si>
  <si>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</si>
  <si>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</si>
  <si>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</si>
  <si>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</si>
  <si>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</si>
  <si>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</si>
  <si>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</si>
  <si>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</si>
  <si>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</si>
  <si>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</si>
  <si>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</si>
  <si>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</si>
  <si>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</si>
  <si>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</si>
  <si>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</si>
  <si>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</si>
  <si>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</si>
  <si>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</si>
  <si>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</si>
  <si>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</si>
  <si>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</si>
  <si>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</si>
  <si>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</si>
  <si>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</si>
  <si>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</si>
  <si>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</si>
  <si>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</si>
  <si>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</si>
  <si>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</si>
  <si>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</si>
  <si>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</si>
  <si>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</si>
  <si>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</si>
  <si>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</si>
  <si>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</si>
  <si>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</si>
  <si>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</si>
  <si>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</si>
  <si>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</si>
  <si>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</si>
  <si>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</si>
  <si>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</si>
  <si>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</si>
  <si>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</si>
  <si>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</si>
  <si>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</si>
  <si>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</si>
  <si>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</si>
  <si>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</si>
  <si>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</si>
  <si>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</si>
  <si>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</si>
  <si>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</si>
  <si>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</si>
  <si>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</si>
  <si>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</si>
  <si>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</si>
  <si>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</si>
  <si>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</si>
  <si>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</si>
  <si>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</si>
  <si>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</si>
  <si>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</si>
  <si>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</si>
  <si>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</si>
  <si>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</si>
  <si>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</si>
  <si>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</si>
  <si>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</si>
  <si>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</si>
  <si>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</si>
  <si>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</si>
  <si>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</si>
  <si>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</si>
  <si>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</si>
  <si>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</si>
  <si>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</si>
  <si>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</si>
  <si>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</si>
  <si>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</si>
  <si>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</si>
  <si>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</si>
  <si>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</si>
  <si>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</si>
  <si>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</si>
  <si>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</si>
  <si>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</si>
  <si>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</si>
  <si>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</si>
  <si>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</si>
  <si>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</si>
  <si>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</si>
  <si>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</si>
  <si>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</si>
  <si>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</si>
  <si>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</si>
  <si>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</si>
  <si>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</si>
  <si>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</si>
  <si>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</si>
  <si>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</si>
  <si>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</si>
  <si>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</si>
  <si>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</si>
  <si>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</si>
  <si>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</si>
  <si>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</si>
  <si>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</si>
  <si>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</si>
  <si>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</si>
  <si>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</si>
  <si>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</si>
  <si>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</si>
  <si>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</si>
  <si>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</si>
  <si>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</si>
  <si>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</si>
  <si>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</si>
  <si>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</si>
  <si>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</si>
  <si>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</si>
  <si>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</si>
  <si>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</si>
  <si>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</si>
  <si>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</si>
  <si>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</si>
  <si>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</si>
  <si>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</si>
  <si>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</si>
  <si>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</si>
  <si>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</si>
  <si>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</si>
  <si>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</si>
  <si>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</si>
  <si>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</si>
  <si>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</si>
  <si>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</si>
  <si>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</si>
  <si>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</si>
  <si>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</si>
  <si>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</si>
  <si>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</si>
  <si>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</si>
  <si>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</si>
  <si>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</si>
  <si>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</si>
  <si>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</si>
  <si>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</si>
  <si>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</si>
  <si>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</si>
  <si>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</si>
  <si>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</si>
  <si>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</si>
  <si>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</si>
  <si>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</si>
  <si>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</si>
  <si>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</si>
  <si>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</si>
  <si>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</si>
  <si>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</si>
  <si>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</si>
  <si>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</si>
  <si>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</si>
  <si>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</si>
  <si>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</si>
  <si>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</si>
  <si>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</si>
  <si>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</si>
  <si>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</si>
  <si>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</si>
  <si>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</si>
  <si>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</si>
  <si>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</si>
  <si>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</si>
  <si>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</si>
  <si>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</si>
  <si>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</si>
  <si>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</si>
  <si>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</si>
  <si>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</si>
  <si>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</si>
  <si>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</si>
  <si>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</si>
  <si>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</si>
  <si>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</si>
  <si>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</si>
  <si>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</si>
  <si>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</si>
  <si>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</si>
  <si>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</si>
  <si>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</si>
  <si>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</si>
  <si>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</si>
  <si>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</si>
  <si>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</si>
  <si>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</si>
  <si>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</si>
  <si>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</si>
  <si>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</si>
  <si>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</si>
  <si>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</si>
  <si>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</si>
  <si>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</si>
  <si>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</si>
  <si>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</si>
  <si>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</si>
  <si>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</si>
  <si>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</si>
  <si>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</si>
  <si>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</si>
  <si>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</si>
  <si>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</si>
  <si>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</si>
  <si>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</si>
  <si>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</si>
  <si>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</si>
  <si>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</si>
  <si>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</si>
  <si>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</si>
  <si>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</si>
  <si>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</si>
  <si>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</si>
  <si>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</si>
  <si>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</si>
  <si>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</si>
  <si>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</si>
  <si>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</si>
  <si>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</si>
  <si>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</si>
  <si>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</si>
  <si>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</si>
  <si>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</si>
  <si>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</si>
  <si>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</si>
  <si>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</si>
  <si>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</si>
  <si>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</si>
  <si>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</si>
  <si>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</si>
  <si>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</si>
  <si>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</si>
  <si>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</si>
  <si>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</si>
  <si>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</si>
  <si>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</si>
  <si>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</si>
  <si>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</si>
  <si>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</si>
  <si>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</si>
  <si>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</si>
  <si>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</si>
  <si>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</si>
  <si>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</si>
  <si>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</si>
  <si>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</si>
  <si>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</si>
  <si>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</si>
  <si>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</si>
  <si>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</si>
  <si>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</si>
  <si>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</si>
  <si>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</si>
  <si>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</si>
  <si>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</si>
  <si>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</si>
  <si>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</si>
  <si>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</si>
  <si>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</si>
  <si>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</si>
  <si>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</si>
  <si>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</si>
  <si>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</si>
  <si>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</si>
  <si>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</si>
  <si>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</si>
  <si>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</si>
  <si>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</si>
  <si>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</si>
  <si>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</si>
  <si>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</si>
  <si>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</si>
  <si>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</si>
  <si>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</si>
  <si>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</si>
  <si>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</si>
  <si>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</si>
  <si>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</si>
  <si>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</si>
  <si>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</si>
  <si>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</si>
  <si>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</si>
  <si>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</si>
  <si>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</si>
  <si>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</si>
  <si>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</si>
  <si>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</si>
  <si>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</si>
  <si>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</si>
  <si>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</si>
  <si>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</si>
  <si>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</si>
  <si>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</si>
  <si>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</si>
  <si>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</si>
  <si>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</si>
  <si>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</si>
  <si>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</si>
  <si>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</si>
  <si>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</si>
  <si>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</si>
  <si>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</si>
  <si>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</si>
  <si>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</si>
  <si>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</si>
  <si>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</si>
  <si>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</si>
  <si>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</si>
  <si>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</si>
  <si>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</si>
  <si>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</si>
  <si>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</si>
  <si>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</si>
  <si>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</si>
  <si>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</si>
  <si>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</si>
  <si>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</si>
  <si>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</si>
  <si>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</si>
  <si>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</si>
  <si>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</si>
  <si>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</si>
  <si>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</si>
  <si>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</si>
  <si>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</si>
  <si>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</si>
  <si>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</si>
  <si>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</si>
  <si>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</si>
  <si>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</si>
  <si>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</si>
  <si>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</si>
  <si>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</si>
  <si>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</si>
  <si>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</si>
  <si>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</si>
  <si>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</si>
  <si>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</si>
  <si>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</si>
  <si>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</si>
  <si>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</si>
  <si>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</si>
  <si>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</si>
  <si>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</si>
  <si>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</si>
  <si>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</si>
  <si>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</si>
  <si>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</si>
  <si>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</si>
  <si>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</si>
  <si>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</si>
  <si>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</si>
  <si>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</si>
  <si>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</si>
  <si>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</si>
  <si>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</si>
  <si>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</si>
  <si>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</si>
  <si>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</si>
  <si>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</si>
  <si>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</si>
  <si>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</si>
  <si>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</si>
  <si>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</si>
  <si>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</si>
  <si>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</si>
  <si>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</si>
  <si>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</si>
  <si>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</si>
  <si>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</si>
  <si>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</si>
  <si>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</si>
  <si>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</si>
  <si>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</si>
  <si>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</si>
  <si>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</si>
  <si>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</si>
  <si>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</si>
  <si>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</si>
  <si>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</si>
  <si>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</si>
  <si>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</si>
  <si>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</si>
  <si>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</si>
  <si>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</si>
  <si>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</si>
  <si>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</si>
  <si>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</si>
  <si>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</si>
  <si>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</si>
  <si>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</si>
  <si>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</si>
  <si>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</si>
  <si>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</si>
  <si>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</si>
  <si>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</si>
  <si>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</si>
  <si>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</si>
  <si>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</si>
  <si>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</si>
  <si>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</si>
  <si>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</si>
  <si>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</si>
  <si>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</si>
  <si>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</si>
  <si>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</si>
  <si>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</si>
  <si>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</si>
  <si>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</si>
  <si>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</si>
  <si>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</si>
  <si>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</si>
  <si>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</si>
  <si>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</si>
  <si>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</si>
  <si>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</si>
  <si>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</si>
  <si>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</si>
  <si>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</si>
  <si>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</si>
  <si>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</si>
  <si>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</si>
  <si>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</si>
  <si>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</si>
  <si>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</si>
  <si>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</si>
  <si>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</si>
  <si>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</si>
  <si>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</si>
  <si>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</si>
  <si>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</si>
  <si>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</si>
  <si>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</si>
  <si>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</si>
  <si>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</si>
  <si>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</si>
  <si>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</si>
  <si>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</si>
  <si>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</si>
  <si>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</si>
  <si>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</si>
  <si>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</si>
  <si>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</si>
  <si>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</si>
  <si>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</si>
  <si>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</si>
  <si>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</si>
  <si>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</si>
  <si>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</si>
  <si>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</si>
  <si>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</si>
  <si>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</si>
  <si>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</si>
  <si>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</si>
  <si>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</si>
  <si>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</si>
  <si>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</si>
  <si>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</si>
  <si>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</si>
  <si>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</si>
  <si>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</si>
  <si>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</si>
  <si>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</si>
  <si>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</si>
  <si>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</si>
  <si>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</si>
  <si>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</si>
  <si>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</si>
  <si>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</si>
  <si>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</si>
  <si>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</si>
  <si>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</si>
  <si>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</si>
  <si>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</si>
  <si>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</si>
  <si>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</si>
  <si>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</si>
  <si>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</si>
  <si>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</si>
  <si>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</si>
  <si>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</si>
  <si>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</si>
  <si>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</si>
  <si>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</si>
  <si>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</si>
  <si>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</si>
  <si>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</si>
  <si>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</si>
  <si>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</si>
  <si>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</si>
  <si>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</si>
  <si>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</si>
  <si>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</si>
  <si>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</si>
  <si>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</si>
  <si>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</si>
  <si>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</si>
  <si>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</si>
  <si>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</si>
  <si>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</si>
  <si>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</si>
  <si>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</si>
  <si>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</si>
  <si>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</si>
  <si>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</si>
  <si>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</si>
  <si>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</si>
  <si>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</si>
  <si>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</si>
  <si>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</si>
  <si>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</si>
  <si>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</si>
  <si>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</si>
  <si>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</si>
  <si>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</si>
  <si>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</si>
  <si>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</si>
  <si>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</si>
  <si>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</si>
  <si>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</si>
  <si>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</si>
  <si>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</si>
  <si>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</si>
  <si>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</si>
  <si>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</si>
  <si>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</si>
  <si>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</si>
  <si>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</si>
  <si>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</si>
  <si>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</si>
  <si>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</si>
  <si>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</si>
  <si>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</si>
  <si>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</si>
  <si>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</si>
  <si>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</si>
  <si>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</si>
  <si>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</si>
  <si>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</si>
  <si>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</si>
  <si>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</si>
  <si>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</si>
  <si>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</si>
  <si>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</si>
  <si>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</si>
  <si>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</si>
  <si>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</si>
  <si>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</si>
  <si>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</si>
  <si>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</si>
  <si>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</si>
  <si>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</si>
  <si>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</si>
  <si>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</si>
  <si>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</si>
  <si>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</si>
  <si>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</si>
  <si>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</si>
  <si>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</si>
  <si>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</si>
  <si>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</si>
  <si>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</si>
  <si>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</si>
  <si>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</si>
  <si>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</si>
  <si>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</si>
  <si>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</si>
  <si>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</si>
  <si>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</si>
  <si>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</si>
  <si>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</si>
  <si>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</si>
  <si>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</si>
  <si>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</si>
  <si>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</si>
  <si>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Em intervalo para exec. de soldas entre ZVT-ZDK, inciado às 09:53 até 12:53</t>
  </si>
  <si>
    <t>Macro 1 06:12/Lic. 06:35/Intervalo de socaria no km 302+000 com início ás 07:18</t>
  </si>
  <si>
    <t>Programado para 08:00 e não solicitou macro 1/Perdendo oportunidade de FX</t>
  </si>
  <si>
    <t>Programado para 08h00 e não solicitou MC1 / Perdendo oportunidade de FX</t>
  </si>
  <si>
    <t xml:space="preserve">Devido V63 que iria levar turma para o interv. não solicitar MC1/ TP mudou o local para o km  2093+600 ao 2094+100/Intervalo aberto das 11:30 até 12:00
</t>
  </si>
  <si>
    <t>Devido V63 não solicitar MC1 / TP que iria deslocar no ativo, não realizou o intervalo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</si>
  <si>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</si>
  <si>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</si>
  <si>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</si>
  <si>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TAL-TIQ</t>
  </si>
  <si>
    <t>TALTIQ</t>
  </si>
  <si>
    <t>TIQ-TGR</t>
  </si>
  <si>
    <t>TIQTGR</t>
  </si>
  <si>
    <t>ZDP</t>
  </si>
  <si>
    <t>ZTP-ZDP</t>
  </si>
  <si>
    <t>ZTPZDP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</si>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</sst>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G6" activePane="bottomRight" state="frozen"/>
      <selection pane="bottomRight" activeCell="G187" sqref="G1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</v>
      </c>
      <c r="BR170" s="25">
        <f>IF(OR(B170="",F170=""),"*",AY170/P170)</f>
        <v>1.0000000000000004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24" t="s">
        <v>1654</v>
      </c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</v>
      </c>
      <c r="BR177" s="25">
        <f>IF(OR(B177="",F177=""),"*",AY177/P177)</f>
        <v>1</v>
      </c>
      <c r="BS177" s="25">
        <f>IF(OR(B177="",F177=""),"*",BA177/Q177)</f>
        <v>0</v>
      </c>
      <c r="BT177" s="277" t="str">
        <f t="shared" si="2"/>
        <v/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1655</v>
      </c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1656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1657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303" t="s">
        <v>1658</v>
      </c>
      <c r="BL180" s="22"/>
      <c r="BM180" s="20" t="s">
        <v>377</v>
      </c>
      <c r="BN180" s="20" t="s">
        <v>407</v>
      </c>
      <c r="BO180" s="180" t="s">
        <v>470</v>
      </c>
      <c r="BP180" s="23" t="s">
        <v>1659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1660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1661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1662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idden="1">
      <c r="A183" s="58" t="str">
        <f>D183&amp;B183</f>
        <v>E1445947</v>
      </c>
      <c r="B183" s="184">
        <v>45947</v>
      </c>
      <c r="C183" s="9">
        <f>IF(BS_CONTROLE[[#This Row],[DATA]]="","",WEEKNUM(BS_CONTROLE[[#This Row],[DATA]]))</f>
        <v>42</v>
      </c>
      <c r="D183" s="15" t="s">
        <v>150</v>
      </c>
      <c r="E183" s="16"/>
      <c r="F183" s="78" t="s">
        <v>108</v>
      </c>
      <c r="G183" s="10" t="str">
        <f>IF(D183="","*",VLOOKUP(F183,BS_ATIVIDADE[#All],3,FALSE))</f>
        <v>MECANIZAÇÃO - ESMERILHADORA</v>
      </c>
      <c r="H183" s="19" t="s">
        <v>595</v>
      </c>
      <c r="I183" s="19" t="s">
        <v>595</v>
      </c>
      <c r="J183" s="18">
        <v>98</v>
      </c>
      <c r="K183" s="18">
        <v>690.99199999999996</v>
      </c>
      <c r="L183" s="18">
        <v>617.86800000000005</v>
      </c>
      <c r="M183" s="18" t="s">
        <v>1663</v>
      </c>
      <c r="N183" s="18" t="s">
        <v>1664</v>
      </c>
      <c r="O183" s="19">
        <v>0.875</v>
      </c>
      <c r="P183" s="154">
        <v>4.1666666666666664E-2</v>
      </c>
      <c r="Q183" s="92">
        <v>20000</v>
      </c>
      <c r="R183" s="11" t="str">
        <f>IFERROR(_xlfn.XLOOKUP(F183, BS_ATIVIDADE[ATIVIDADE],BS_ATIVIDADE[UNIDADE] ), "*")</f>
        <v>M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89" t="str">
        <f>IFERROR(_xlfn.XLOOKUP(J183, TabelaMap[SUB], TabelaMap[NOME SUB]), "ERRO")</f>
        <v xml:space="preserve"> ALTO ARAGUAIA  -  RONDONOPOLIS</v>
      </c>
      <c r="V183" s="227" t="s">
        <v>1237</v>
      </c>
      <c r="W183" s="194" t="s">
        <v>1238</v>
      </c>
      <c r="X183" s="15"/>
      <c r="Y183" s="20"/>
      <c r="Z183" s="20"/>
      <c r="AA183" s="155">
        <v>1</v>
      </c>
      <c r="AB183" s="78" t="s">
        <v>348</v>
      </c>
      <c r="AC183" s="78" t="s">
        <v>343</v>
      </c>
      <c r="AD183" s="194">
        <v>0.83333333333333337</v>
      </c>
      <c r="AE183" s="92">
        <v>6245</v>
      </c>
      <c r="AF183" s="92">
        <v>6246</v>
      </c>
      <c r="AG183" s="92" t="s">
        <v>11</v>
      </c>
      <c r="AH183" s="21"/>
      <c r="AI183" s="17" t="str">
        <f>IF(BS_CONTROLE[[#This Row],[Atividade]]=0, "-", BS_CONTROLE[[#This Row],[Atividade]])</f>
        <v>MECANIZAÇÃO - ESMERILHADORA</v>
      </c>
      <c r="AJ183" s="10" t="str">
        <f>IF(D183="","*",VLOOKUP(AI183,BS_ATIVIDADE[#All],3,FALSE))</f>
        <v>MECANIZAÇÃO - ESMERILHADORA</v>
      </c>
      <c r="AK183" s="146" t="str">
        <f>BS_CONTROLE[[#This Row],[Local - Partida]]</f>
        <v>TSF1</v>
      </c>
      <c r="AL183" s="146" t="str">
        <f>BS_CONTROLE[[#This Row],[Local - Encerramento]]</f>
        <v>TSF1</v>
      </c>
      <c r="AM183" s="196" t="str">
        <f>BS_CONTROLE[[#This Row],[Entre - Estações]]</f>
        <v>TAL-TIQ</v>
      </c>
      <c r="AN183" s="196" t="str">
        <f>BS_CONTROLE[[#This Row],[SB]]</f>
        <v>TALTIQ</v>
      </c>
      <c r="AO183" s="18">
        <f>BS_CONTROLE[[#This Row],[SUB]]</f>
        <v>98</v>
      </c>
      <c r="AP183" s="18">
        <f>BS_CONTROLE[[#This Row],[KM - Inicio]]</f>
        <v>690.99199999999996</v>
      </c>
      <c r="AQ183" s="18">
        <f>BS_CONTROLE[[#This Row],[KM - Fim]]</f>
        <v>617.86800000000005</v>
      </c>
      <c r="AR183" s="46"/>
      <c r="AS183" s="46"/>
      <c r="AT183" s="46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M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2" t="str">
        <f>IFERROR(_xlfn.XLOOKUP(AO183, TabelaMap[SUB], TabelaMap[NOME SUB]), "ERRO")</f>
        <v xml:space="preserve"> ALTO ARAGUAIA  -  RONDONOPOLIS</v>
      </c>
      <c r="BF183" s="18" t="str">
        <f>IF(BS_CONTROLE[[#This Row],[Responsavel pelo boletim]]=0, "-", BS_CONTROLE[[#This Row],[Responsavel pelo boletim]])</f>
        <v>Fernanda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 t="str">
        <f t="shared" si="2"/>
        <v/>
      </c>
    </row>
    <row r="184" spans="1:72" hidden="1">
      <c r="A184" s="58" t="str">
        <f>D184&amp;B184</f>
        <v>V8045947</v>
      </c>
      <c r="B184" s="184">
        <v>45947</v>
      </c>
      <c r="C184" s="9">
        <f>IF(BS_CONTROLE[[#This Row],[DATA]]="","",WEEKNUM(BS_CONTROLE[[#This Row],[DATA]]))</f>
        <v>42</v>
      </c>
      <c r="D184" s="59" t="s">
        <v>206</v>
      </c>
      <c r="E184" s="156"/>
      <c r="F184" s="193" t="s">
        <v>214</v>
      </c>
      <c r="G184" s="10" t="str">
        <f>IF(D184="","*",VLOOKUP(F184,BS_ATIVIDADE[#All],3,FALSE))</f>
        <v>OUTROS</v>
      </c>
      <c r="H184" s="19" t="s">
        <v>571</v>
      </c>
      <c r="I184" s="19" t="s">
        <v>683</v>
      </c>
      <c r="J184" s="18">
        <v>98</v>
      </c>
      <c r="K184" s="18">
        <v>617.86800000000005</v>
      </c>
      <c r="L184" s="83">
        <v>501.22</v>
      </c>
      <c r="M184" s="18" t="s">
        <v>1665</v>
      </c>
      <c r="N184" s="18" t="s">
        <v>1666</v>
      </c>
      <c r="O184" s="19">
        <v>0.39583333333333331</v>
      </c>
      <c r="P184" s="19">
        <v>4.1666666666666664E-2</v>
      </c>
      <c r="Q184" s="83">
        <v>1</v>
      </c>
      <c r="R184" s="11" t="str">
        <f>IFERROR(_xlfn.XLOOKUP(F184, BS_ATIVIDADE[ATIVIDADE],BS_ATIVIDADE[UNIDADE] ), "*")</f>
        <v>BINÁRIO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31" t="s">
        <v>1237</v>
      </c>
      <c r="W184" s="46" t="s">
        <v>1285</v>
      </c>
      <c r="X184" s="15"/>
      <c r="Y184" s="20"/>
      <c r="Z184" s="20"/>
      <c r="AA184" s="155">
        <v>1</v>
      </c>
      <c r="AB184" s="78" t="s">
        <v>348</v>
      </c>
      <c r="AC184" s="78" t="s">
        <v>11</v>
      </c>
      <c r="AD184" s="92" t="s">
        <v>11</v>
      </c>
      <c r="AE184" s="92">
        <v>7684</v>
      </c>
      <c r="AF184" s="92" t="s">
        <v>11</v>
      </c>
      <c r="AG184" s="92" t="s">
        <v>11</v>
      </c>
      <c r="AH184" s="21"/>
      <c r="AI184" s="17" t="str">
        <f>IF(BS_CONTROLE[[#This Row],[Atividade]]=0, "-", BS_CONTROLE[[#This Row],[Atividade]])</f>
        <v>INSPEÇÃO RIV</v>
      </c>
      <c r="AJ184" s="10" t="str">
        <f>IF(D184="","*",VLOOKUP(AI184,BS_ATIVIDADE[#All],3,FALSE))</f>
        <v>OUTROS</v>
      </c>
      <c r="AK184" s="146" t="str">
        <f>BS_CONTROLE[[#This Row],[Local - Partida]]</f>
        <v>TIQ</v>
      </c>
      <c r="AL184" s="146" t="str">
        <f>BS_CONTROLE[[#This Row],[Local - Encerramento]]</f>
        <v>TGR</v>
      </c>
      <c r="AM184" s="196" t="str">
        <f>BS_CONTROLE[[#This Row],[Entre - Estações]]</f>
        <v>TIQ-TGR</v>
      </c>
      <c r="AN184" s="196" t="str">
        <f>BS_CONTROLE[[#This Row],[SB]]</f>
        <v>TIQTGR</v>
      </c>
      <c r="AO184" s="18">
        <f>BS_CONTROLE[[#This Row],[SUB]]</f>
        <v>98</v>
      </c>
      <c r="AP184" s="18">
        <f>BS_CONTROLE[[#This Row],[KM - Inicio]]</f>
        <v>617.86800000000005</v>
      </c>
      <c r="AQ184" s="18">
        <f>BS_CONTROLE[[#This Row],[KM - Fim]]</f>
        <v>501.22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BINÁRIO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W7045947</v>
      </c>
      <c r="B185" s="184">
        <v>45947</v>
      </c>
      <c r="C185" s="9">
        <f>IF(BS_CONTROLE[[#This Row],[DATA]]="","",WEEKNUM(BS_CONTROLE[[#This Row],[DATA]]))</f>
        <v>42</v>
      </c>
      <c r="D185" s="15" t="s">
        <v>237</v>
      </c>
      <c r="E185" s="16"/>
      <c r="F185" s="17" t="s">
        <v>175</v>
      </c>
      <c r="G185" s="10" t="str">
        <f>IF(D185="","*",VLOOKUP(F185,BS_ATIVIDADE[#All],3,FALSE))</f>
        <v>DORMENTE - DESCARGA</v>
      </c>
      <c r="H185" s="19" t="s">
        <v>764</v>
      </c>
      <c r="I185" s="19" t="s">
        <v>764</v>
      </c>
      <c r="J185" s="18">
        <v>74</v>
      </c>
      <c r="K185" s="18">
        <v>343.3</v>
      </c>
      <c r="L185" s="83" t="s">
        <v>11</v>
      </c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5" s="19">
        <v>0.39583333333333331</v>
      </c>
      <c r="P185" s="19">
        <v>8.3333333333333329E-2</v>
      </c>
      <c r="Q185" s="92">
        <v>233</v>
      </c>
      <c r="R185" s="11" t="str">
        <f>IFERROR(_xlfn.XLOOKUP(F185, BS_ATIVIDADE[ATIVIDADE],BS_ATIVIDADE[UNIDADE] ), "*")</f>
        <v>Nº DE DORMENTES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89" t="str">
        <f>IFERROR(_xlfn.XLOOKUP(J185, TabelaMap[SUB], TabelaMap[NOME SUB]), "ERRO")</f>
        <v xml:space="preserve"> MARCO INICIAL  -  ALTO ARAGUAIA</v>
      </c>
      <c r="V185" s="231" t="s">
        <v>1352</v>
      </c>
      <c r="W185" s="46" t="s">
        <v>1484</v>
      </c>
      <c r="X185" s="15"/>
      <c r="Y185" s="20"/>
      <c r="Z185" s="20"/>
      <c r="AA185" s="155" t="s">
        <v>1367</v>
      </c>
      <c r="AB185" s="78" t="s">
        <v>348</v>
      </c>
      <c r="AC185" s="78" t="s">
        <v>343</v>
      </c>
      <c r="AD185" s="194">
        <v>0.33333333333333331</v>
      </c>
      <c r="AE185" s="92">
        <v>9346</v>
      </c>
      <c r="AF185" s="92">
        <v>9372</v>
      </c>
      <c r="AG185" s="92">
        <v>11</v>
      </c>
      <c r="AH185" s="21"/>
      <c r="AI185" s="17" t="str">
        <f>IF(BS_CONTROLE[[#This Row],[Atividade]]=0, "-", BS_CONTROLE[[#This Row],[Atividade]])</f>
        <v>PDM - DESCARGA - DORMENTE</v>
      </c>
      <c r="AJ185" s="10" t="str">
        <f>IF(D185="","*",VLOOKUP(AI185,BS_ATIVIDADE[#All],3,FALSE))</f>
        <v>DORMENTE - DESCARGA</v>
      </c>
      <c r="AK185" s="146" t="str">
        <f>BS_CONTROLE[[#This Row],[Local - Partida]]</f>
        <v>TCS</v>
      </c>
      <c r="AL185" s="146" t="str">
        <f>BS_CONTROLE[[#This Row],[Local - Encerramento]]</f>
        <v>TCS</v>
      </c>
      <c r="AM185" s="196" t="str">
        <f>BS_CONTROLE[[#This Row],[Entre - Estações]]</f>
        <v>TLA-TSE</v>
      </c>
      <c r="AN185" s="196" t="str">
        <f>BS_CONTROLE[[#This Row],[SB]]</f>
        <v>TLA350</v>
      </c>
      <c r="AO185" s="18">
        <f>BS_CONTROLE[[#This Row],[SUB]]</f>
        <v>74</v>
      </c>
      <c r="AP185" s="18">
        <f>BS_CONTROLE[[#This Row],[KM - Inicio]]</f>
        <v>343.3</v>
      </c>
      <c r="AQ185" s="18" t="str">
        <f>BS_CONTROLE[[#This Row],[KM - Fim]]</f>
        <v>-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Nº DE DORMENTES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2" t="str">
        <f>IFERROR(_xlfn.XLOOKUP(AO185, TabelaMap[SUB], TabelaMap[NOME SUB]), "ERRO")</f>
        <v xml:space="preserve"> MARCO INICIAL  -  ALTO ARAGUAIA</v>
      </c>
      <c r="BF185" s="18" t="str">
        <f>IF(BS_CONTROLE[[#This Row],[Responsavel pelo boletim]]=0, "-", BS_CONTROLE[[#This Row],[Responsavel pelo boletim]])</f>
        <v>Ronaldo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 hidden="1">
      <c r="A186" s="58" t="str">
        <f>D186&amp;B186</f>
        <v>BRUNO (TF-525)45947</v>
      </c>
      <c r="B186" s="184">
        <v>45947</v>
      </c>
      <c r="C186" s="9">
        <f>IF(BS_CONTROLE[[#This Row],[DATA]]="","",WEEKNUM(BS_CONTROLE[[#This Row],[DATA]]))</f>
        <v>42</v>
      </c>
      <c r="D186" s="253" t="s">
        <v>264</v>
      </c>
      <c r="E186" s="257"/>
      <c r="F186" s="193" t="s">
        <v>194</v>
      </c>
      <c r="G186" s="10" t="str">
        <f>IF(D186="","*",VLOOKUP(F186,BS_ATIVIDADE[#All],3,FALSE))</f>
        <v>SOLDA</v>
      </c>
      <c r="H186" s="19" t="s">
        <v>11</v>
      </c>
      <c r="I186" s="19" t="s">
        <v>11</v>
      </c>
      <c r="J186" s="251">
        <v>74</v>
      </c>
      <c r="K186" s="18">
        <v>294.95</v>
      </c>
      <c r="L186" s="83" t="s">
        <v>11</v>
      </c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6" s="19">
        <v>0.375</v>
      </c>
      <c r="P186" s="19">
        <v>6.25E-2</v>
      </c>
      <c r="Q186" s="83">
        <v>1</v>
      </c>
      <c r="R186" s="11" t="str">
        <f>IFERROR(_xlfn.XLOOKUP(F186, BS_ATIVIDADE[ATIVIDADE],BS_ATIVIDADE[UNIDADE] ), "*")</f>
        <v>Nº DE SOLDA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89" t="str">
        <f>IFERROR(_xlfn.XLOOKUP(J186, TabelaMap[SUB], TabelaMap[NOME SUB]), "ERRO")</f>
        <v xml:space="preserve"> MARCO INICIAL  -  ALTO ARAGUAIA</v>
      </c>
      <c r="V186" s="231" t="s">
        <v>1251</v>
      </c>
      <c r="W186" s="46" t="s">
        <v>1641</v>
      </c>
      <c r="X186" s="15"/>
      <c r="Y186" s="20"/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SOLDA</v>
      </c>
      <c r="AJ186" s="10" t="str">
        <f>IF(D186="","*",VLOOKUP(AI186,BS_ATIVIDADE[#All],3,FALSE))</f>
        <v>SOLDA</v>
      </c>
      <c r="AK186" s="146" t="str">
        <f>BS_CONTROLE[[#This Row],[Local - Partida]]</f>
        <v>-</v>
      </c>
      <c r="AL186" s="146" t="str">
        <f>BS_CONTROLE[[#This Row],[Local - Encerramento]]</f>
        <v>-</v>
      </c>
      <c r="AM186" s="196" t="str">
        <f>BS_CONTROLE[[#This Row],[Entre - Estações]]</f>
        <v>TRC-THE</v>
      </c>
      <c r="AN186" s="196" t="str">
        <f>BS_CONTROLE[[#This Row],[SB]]</f>
        <v>294THE</v>
      </c>
      <c r="AO186" s="18">
        <f>BS_CONTROLE[[#This Row],[SUB]]</f>
        <v>74</v>
      </c>
      <c r="AP186" s="18">
        <f>BS_CONTROLE[[#This Row],[KM - Inicio]]</f>
        <v>294.95</v>
      </c>
      <c r="AQ186" s="18" t="str">
        <f>BS_CONTROLE[[#This Row],[KM - Fim]]</f>
        <v>-</v>
      </c>
      <c r="AR186" s="46"/>
      <c r="AS186" s="46"/>
      <c r="AT186" s="46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SOLDA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2" t="str">
        <f>IFERROR(_xlfn.XLOOKUP(AO186, TabelaMap[SUB], TabelaMap[NOME SUB]), "ERRO")</f>
        <v xml:space="preserve"> MARCO INICIAL  -  ALTO ARAGUAIA</v>
      </c>
      <c r="BF186" s="18" t="str">
        <f>IF(BS_CONTROLE[[#This Row],[Responsavel pelo boletim]]=0, "-", BS_CONTROLE[[#This Row],[Responsavel pelo boletim]])</f>
        <v>Bruno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 t="str">
        <f t="shared" si="2"/>
        <v/>
      </c>
    </row>
    <row r="187" spans="1:72" hidden="1">
      <c r="A187" s="58" t="str">
        <f>D187&amp;B187</f>
        <v>W5045947</v>
      </c>
      <c r="B187" s="184">
        <v>45947</v>
      </c>
      <c r="C187" s="9">
        <f>IF(BS_CONTROLE[[#This Row],[DATA]]="","",WEEKNUM(BS_CONTROLE[[#This Row],[DATA]]))</f>
        <v>42</v>
      </c>
      <c r="D187" s="15" t="s">
        <v>228</v>
      </c>
      <c r="E187" s="16"/>
      <c r="F187" s="17" t="s">
        <v>25</v>
      </c>
      <c r="G187" s="10" t="str">
        <f>IF(D187="","*",VLOOKUP(F187,BS_ATIVIDADE[#All],3,FALSE))</f>
        <v>OUTROS</v>
      </c>
      <c r="H187" s="19" t="s">
        <v>764</v>
      </c>
      <c r="I187" s="19" t="s">
        <v>722</v>
      </c>
      <c r="J187" s="251">
        <v>74</v>
      </c>
      <c r="K187" s="45">
        <v>290</v>
      </c>
      <c r="L187" s="83" t="s">
        <v>11</v>
      </c>
      <c r="M187" s="18" t="s">
        <v>1604</v>
      </c>
      <c r="N187" s="18" t="s">
        <v>1605</v>
      </c>
      <c r="O187" s="19">
        <v>0.45833333333333331</v>
      </c>
      <c r="P187" s="19">
        <v>4.1666666666666664E-2</v>
      </c>
      <c r="Q187" s="83">
        <v>1</v>
      </c>
      <c r="R187" s="11" t="str">
        <f>IFERROR(_xlfn.XLOOKUP(F187, BS_ATIVIDADE[ATIVIDADE],BS_ATIVIDADE[UNIDADE] ), "*")</f>
        <v>BINÁRIO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89" t="str">
        <f>IFERROR(_xlfn.XLOOKUP(J187, TabelaMap[SUB], TabelaMap[NOME SUB]), "ERRO")</f>
        <v xml:space="preserve"> MARCO INICIAL  -  ALTO ARAGUAIA</v>
      </c>
      <c r="V187" s="227" t="s">
        <v>1263</v>
      </c>
      <c r="W187" s="46" t="s">
        <v>1606</v>
      </c>
      <c r="X187" s="15"/>
      <c r="Y187" s="20"/>
      <c r="Z187" s="20"/>
      <c r="AA187" s="307" t="s">
        <v>1607</v>
      </c>
      <c r="AB187" s="78" t="s">
        <v>348</v>
      </c>
      <c r="AC187" s="78" t="s">
        <v>11</v>
      </c>
      <c r="AD187" s="194">
        <v>0.35416666666666669</v>
      </c>
      <c r="AE187" s="92" t="s">
        <v>11</v>
      </c>
      <c r="AF187" s="92" t="s">
        <v>11</v>
      </c>
      <c r="AG187" s="92" t="s">
        <v>11</v>
      </c>
      <c r="AH187" s="21"/>
      <c r="AI187" s="17" t="str">
        <f>IF(BS_CONTROLE[[#This Row],[Atividade]]=0, "-", BS_CONTROLE[[#This Row],[Atividade]])</f>
        <v>DESLOCAMENTO</v>
      </c>
      <c r="AJ187" s="10" t="str">
        <f>IF(D187="","*",VLOOKUP(AI187,BS_ATIVIDADE[#All],3,FALSE))</f>
        <v>OUTROS</v>
      </c>
      <c r="AK187" s="146" t="str">
        <f>BS_CONTROLE[[#This Row],[Local - Partida]]</f>
        <v>TCS</v>
      </c>
      <c r="AL187" s="146" t="str">
        <f>BS_CONTROLE[[#This Row],[Local - Encerramento]]</f>
        <v>TIN</v>
      </c>
      <c r="AM187" s="196" t="str">
        <f>BS_CONTROLE[[#This Row],[Entre - Estações]]</f>
        <v>TCS-TIN</v>
      </c>
      <c r="AN187" s="196" t="str">
        <f>BS_CONTROLE[[#This Row],[SB]]</f>
        <v>TCSTIN</v>
      </c>
      <c r="AO187" s="18">
        <f>BS_CONTROLE[[#This Row],[SUB]]</f>
        <v>74</v>
      </c>
      <c r="AP187" s="18">
        <f>BS_CONTROLE[[#This Row],[KM - Inicio]]</f>
        <v>290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BINÁRIO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Herbert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E4645947</v>
      </c>
      <c r="B188" s="184">
        <v>45947</v>
      </c>
      <c r="C188" s="9">
        <f>IF(BS_CONTROLE[[#This Row],[DATA]]="","",WEEKNUM(BS_CONTROLE[[#This Row],[DATA]]))</f>
        <v>42</v>
      </c>
      <c r="D188" s="15" t="s">
        <v>159</v>
      </c>
      <c r="E188" s="16"/>
      <c r="F188" s="17" t="s">
        <v>25</v>
      </c>
      <c r="G188" s="10" t="str">
        <f>IF(D188="","*",VLOOKUP(F188,BS_ATIVIDADE[#All],3,FALSE))</f>
        <v>OUTROS</v>
      </c>
      <c r="H188" s="154" t="s">
        <v>902</v>
      </c>
      <c r="I188" s="19" t="s">
        <v>1667</v>
      </c>
      <c r="J188" s="18">
        <v>78</v>
      </c>
      <c r="K188" s="18">
        <v>336</v>
      </c>
      <c r="L188" s="83">
        <v>302</v>
      </c>
      <c r="M188" s="18" t="s">
        <v>1668</v>
      </c>
      <c r="N188" s="18" t="s">
        <v>1669</v>
      </c>
      <c r="O188" s="154">
        <v>0.41666666666666669</v>
      </c>
      <c r="P188" s="154">
        <v>4.1666666666666664E-2</v>
      </c>
      <c r="Q188" s="92">
        <v>1</v>
      </c>
      <c r="R188" s="11" t="str">
        <f>IFERROR(_xlfn.XLOOKUP(F188, BS_ATIVIDADE[ATIVIDADE],BS_ATIVIDADE[UNIDADE] ), "*")</f>
        <v>BINÁRIO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8" s="89" t="str">
        <f>IFERROR(_xlfn.XLOOKUP(J188, TabelaMap[SUB], TabelaMap[NOME SUB]), "ERRO")</f>
        <v xml:space="preserve"> ITIRAPINA  -  BAURU</v>
      </c>
      <c r="V188" s="231"/>
      <c r="W188" s="46" t="s">
        <v>1228</v>
      </c>
      <c r="X188" s="15"/>
      <c r="Y188" s="20"/>
      <c r="Z188" s="20"/>
      <c r="AA188" s="92">
        <v>1</v>
      </c>
      <c r="AB188" s="78" t="s">
        <v>348</v>
      </c>
      <c r="AC188" s="78" t="s">
        <v>343</v>
      </c>
      <c r="AD188" s="194">
        <v>0.375</v>
      </c>
      <c r="AE188" s="92" t="s">
        <v>11</v>
      </c>
      <c r="AF188" s="251" t="s">
        <v>11</v>
      </c>
      <c r="AG188" s="92" t="s">
        <v>11</v>
      </c>
      <c r="AH188" s="21"/>
      <c r="AI188" s="17" t="str">
        <f>IF(BS_CONTROLE[[#This Row],[Atividade]]=0, "-", BS_CONTROLE[[#This Row],[Atividade]])</f>
        <v>DESLOCAMENTO</v>
      </c>
      <c r="AJ188" s="10" t="str">
        <f>IF(D188="","*",VLOOKUP(AI188,BS_ATIVIDADE[#All],3,FALSE))</f>
        <v>OUTROS</v>
      </c>
      <c r="AK188" s="146" t="str">
        <f>BS_CONTROLE[[#This Row],[Local - Partida]]</f>
        <v>ZTP1</v>
      </c>
      <c r="AL188" s="146" t="str">
        <f>BS_CONTROLE[[#This Row],[Local - Encerramento]]</f>
        <v>ZDP</v>
      </c>
      <c r="AM188" s="196" t="str">
        <f>BS_CONTROLE[[#This Row],[Entre - Estações]]</f>
        <v>ZTP-ZDP</v>
      </c>
      <c r="AN188" s="196" t="str">
        <f>BS_CONTROLE[[#This Row],[SB]]</f>
        <v>ZTPZDP</v>
      </c>
      <c r="AO188" s="18">
        <f>BS_CONTROLE[[#This Row],[SUB]]</f>
        <v>78</v>
      </c>
      <c r="AP188" s="18">
        <f>BS_CONTROLE[[#This Row],[KM - Inicio]]</f>
        <v>336</v>
      </c>
      <c r="AQ188" s="18">
        <f>BS_CONTROLE[[#This Row],[KM - Fim]]</f>
        <v>302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BINÁRIO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8" s="12" t="str">
        <f>IFERROR(_xlfn.XLOOKUP(AO188, TabelaMap[SUB], TabelaMap[NOME SUB]), "ERRO")</f>
        <v xml:space="preserve"> ITIRAPINA  -  BAURU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V8745947</v>
      </c>
      <c r="B189" s="184">
        <v>45947</v>
      </c>
      <c r="C189" s="9">
        <f>IF(BS_CONTROLE[[#This Row],[DATA]]="","",WEEKNUM(BS_CONTROLE[[#This Row],[DATA]]))</f>
        <v>42</v>
      </c>
      <c r="D189" s="59" t="s">
        <v>215</v>
      </c>
      <c r="E189" s="156"/>
      <c r="F189" s="193" t="s">
        <v>117</v>
      </c>
      <c r="G189" s="10" t="str">
        <f>IF(D189="","*",VLOOKUP(F189,BS_ATIVIDADE[#All],3,FALSE))</f>
        <v>MECANIZAÇÃO - SOCADORA</v>
      </c>
      <c r="H189" s="154" t="s">
        <v>754</v>
      </c>
      <c r="I189" s="154" t="s">
        <v>754</v>
      </c>
      <c r="J189" s="45">
        <v>74</v>
      </c>
      <c r="K189" s="18">
        <v>203</v>
      </c>
      <c r="L189" s="83">
        <v>190</v>
      </c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89" s="306" t="s">
        <v>1611</v>
      </c>
      <c r="O189" s="154">
        <v>0.39583333333333331</v>
      </c>
      <c r="P189" s="154">
        <v>8.3333333333333329E-2</v>
      </c>
      <c r="Q189" s="92">
        <v>1020</v>
      </c>
      <c r="R189" s="11" t="str">
        <f>IFERROR(_xlfn.XLOOKUP(F189, BS_ATIVIDADE[ATIVIDADE],BS_ATIVIDADE[UNIDADE] ), "*")</f>
        <v>M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1241</v>
      </c>
      <c r="W189" s="194" t="s">
        <v>1559</v>
      </c>
      <c r="X189" s="15"/>
      <c r="Y189" s="20"/>
      <c r="Z189" s="20"/>
      <c r="AA189" s="155">
        <v>1</v>
      </c>
      <c r="AB189" s="78" t="s">
        <v>348</v>
      </c>
      <c r="AC189" s="78" t="s">
        <v>11</v>
      </c>
      <c r="AD189" s="194">
        <v>0.29166666666666669</v>
      </c>
      <c r="AE189" s="92">
        <v>6237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MECANIZAÇÃO - SOCADORA</v>
      </c>
      <c r="AJ189" s="10" t="str">
        <f>IF(D189="","*",VLOOKUP(AI189,BS_ATIVIDADE[#All],3,FALSE))</f>
        <v>MECANIZAÇÃO - SOCADORA</v>
      </c>
      <c r="AK189" s="146" t="str">
        <f>BS_CONTROLE[[#This Row],[Local - Partida]]</f>
        <v>TVI2</v>
      </c>
      <c r="AL189" s="146" t="str">
        <f>BS_CONTROLE[[#This Row],[Local - Encerramento]]</f>
        <v>TVI2</v>
      </c>
      <c r="AM189" s="196" t="str">
        <f>BS_CONTROLE[[#This Row],[Entre - Estações]]</f>
        <v>TID-TVI</v>
      </c>
      <c r="AN189" s="196" t="str">
        <f>BS_CONTROLE[[#This Row],[SB]]</f>
        <v>201213/TID201</v>
      </c>
      <c r="AO189" s="18">
        <f>BS_CONTROLE[[#This Row],[SUB]]</f>
        <v>74</v>
      </c>
      <c r="AP189" s="18">
        <f>BS_CONTROLE[[#This Row],[KM - Inicio]]</f>
        <v>203</v>
      </c>
      <c r="AQ189" s="18">
        <f>BS_CONTROLE[[#This Row],[KM - Fim]]</f>
        <v>190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M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Antonioni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>ELSON (TF-526)45947</v>
      </c>
      <c r="B190" s="184">
        <v>45947</v>
      </c>
      <c r="C190" s="9">
        <f>IF(BS_CONTROLE[[#This Row],[DATA]]="","",WEEKNUM(BS_CONTROLE[[#This Row],[DATA]]))</f>
        <v>42</v>
      </c>
      <c r="D190" s="15" t="s">
        <v>285</v>
      </c>
      <c r="E190" s="16"/>
      <c r="F190" s="193" t="s">
        <v>194</v>
      </c>
      <c r="G190" s="10" t="str">
        <f>IF(D190="","*",VLOOKUP(F190,BS_ATIVIDADE[#All],3,FALSE))</f>
        <v>SOLDA</v>
      </c>
      <c r="H190" s="19" t="s">
        <v>721</v>
      </c>
      <c r="I190" s="19" t="s">
        <v>11</v>
      </c>
      <c r="J190" s="45">
        <v>74</v>
      </c>
      <c r="K190" s="18">
        <v>104.02</v>
      </c>
      <c r="L190" s="83" t="s">
        <v>11</v>
      </c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54">
        <v>0.39583333333333331</v>
      </c>
      <c r="P190" s="154">
        <v>6.25E-2</v>
      </c>
      <c r="Q190" s="92">
        <v>1</v>
      </c>
      <c r="R190" s="11" t="str">
        <f>IFERROR(_xlfn.XLOOKUP(F190, BS_ATIVIDADE[ATIVIDADE],BS_ATIVIDADE[UNIDADE] ), "*")</f>
        <v>Nº DE SOLDA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9" t="str">
        <f>IFERROR(_xlfn.XLOOKUP(J190, TabelaMap[SUB], TabelaMap[NOME SUB]), "ERRO")</f>
        <v xml:space="preserve"> MARCO INICIAL  -  ALTO ARAGUAIA</v>
      </c>
      <c r="V190" s="227" t="s">
        <v>1255</v>
      </c>
      <c r="W190" s="46" t="s">
        <v>1601</v>
      </c>
      <c r="X190" s="15"/>
      <c r="Y190" s="20"/>
      <c r="Z190" s="20"/>
      <c r="AA190" s="170"/>
      <c r="AB190" s="78" t="s">
        <v>11</v>
      </c>
      <c r="AC190" s="78" t="s">
        <v>11</v>
      </c>
      <c r="AD190" s="92" t="s">
        <v>11</v>
      </c>
      <c r="AE190" s="92" t="s">
        <v>11</v>
      </c>
      <c r="AF190" s="92" t="s">
        <v>11</v>
      </c>
      <c r="AG190" s="92" t="s">
        <v>11</v>
      </c>
      <c r="AH190" s="21"/>
      <c r="AI190" s="17" t="str">
        <f>IF(BS_CONTROLE[[#This Row],[Atividade]]=0, "-", BS_CONTROLE[[#This Row],[Atividade]])</f>
        <v>PDM - SOLDA</v>
      </c>
      <c r="AJ190" s="10" t="str">
        <f>IF(D190="","*",VLOOKUP(AI190,BS_ATIVIDADE[#All],3,FALSE))</f>
        <v>SOLDA</v>
      </c>
      <c r="AK190" s="146" t="str">
        <f>BS_CONTROLE[[#This Row],[Local - Partida]]</f>
        <v>K97TIN</v>
      </c>
      <c r="AL190" s="146" t="str">
        <f>BS_CONTROLE[[#This Row],[Local - Encerramento]]</f>
        <v>-</v>
      </c>
      <c r="AM190" s="196" t="str">
        <f>BS_CONTROLE[[#This Row],[Entre - Estações]]</f>
        <v>TSP-TIN</v>
      </c>
      <c r="AN190" s="196" t="str">
        <f>BS_CONTROLE[[#This Row],[SB]]</f>
        <v>K97TIN</v>
      </c>
      <c r="AO190" s="18">
        <f>BS_CONTROLE[[#This Row],[SUB]]</f>
        <v>74</v>
      </c>
      <c r="AP190" s="18">
        <f>BS_CONTROLE[[#This Row],[KM - Inicio]]</f>
        <v>104.02</v>
      </c>
      <c r="AQ190" s="18" t="str">
        <f>BS_CONTROLE[[#This Row],[KM - Fim]]</f>
        <v>-</v>
      </c>
      <c r="AR190" s="46"/>
      <c r="AS190" s="46"/>
      <c r="AT190" s="46"/>
      <c r="AU190" s="185"/>
      <c r="AV190" s="185"/>
      <c r="AW190" s="185"/>
      <c r="AX190" s="185"/>
      <c r="AY190" s="13">
        <f>IF(D190="","*",IFERROR(IF(ISODD(COUNT(AS190:AX190)),"ERRO",SUM((AT190-AS190),(AV190-AU190),(AX190-AW190))),"ERRO"))</f>
        <v>0</v>
      </c>
      <c r="AZ190" s="17"/>
      <c r="BA190" s="186"/>
      <c r="BB190" s="11" t="str">
        <f>IFERROR(_xlfn.XLOOKUP(AI190, BS_ATIVIDADE[ATIVIDADE],BS_ATIVIDADE[UNIDADE] ), "*")</f>
        <v>Nº DE SOLDA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2" t="str">
        <f>IFERROR(_xlfn.XLOOKUP(AO190, TabelaMap[SUB], TabelaMap[NOME SUB]), "ERRO")</f>
        <v xml:space="preserve"> MARCO INICIAL  -  ALTO ARAGUAIA</v>
      </c>
      <c r="BF190" s="18" t="str">
        <f>IF(BS_CONTROLE[[#This Row],[Responsavel pelo boletim]]=0, "-", BS_CONTROLE[[#This Row],[Responsavel pelo boletim]])</f>
        <v>Elson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Produção e Intervalo</v>
      </c>
      <c r="BR190" s="25">
        <f>IF(OR(B190="",F190=""),"*",AY190/P190)</f>
        <v>0</v>
      </c>
      <c r="BS190" s="25">
        <f>IF(OR(B190="",F190=""),"*",BA190/Q190)</f>
        <v>0</v>
      </c>
      <c r="BT190" s="277" t="str">
        <f t="shared" si="2"/>
        <v/>
      </c>
    </row>
    <row r="191" spans="1:72" hidden="1">
      <c r="A191" s="58" t="str">
        <f>D191&amp;B191</f>
        <v>V4245947</v>
      </c>
      <c r="B191" s="184">
        <v>45947</v>
      </c>
      <c r="C191" s="9">
        <f>IF(BS_CONTROLE[[#This Row],[DATA]]="","",WEEKNUM(BS_CONTROLE[[#This Row],[DATA]]))</f>
        <v>42</v>
      </c>
      <c r="D191" s="15" t="s">
        <v>180</v>
      </c>
      <c r="E191" s="16"/>
      <c r="F191" s="193" t="s">
        <v>143</v>
      </c>
      <c r="G191" s="10" t="str">
        <f>IF(D191="","*",VLOOKUP(F191,BS_ATIVIDADE[#All],3,FALSE))</f>
        <v>MODERNIZAÇÃO</v>
      </c>
      <c r="H191" s="154" t="s">
        <v>786</v>
      </c>
      <c r="I191" s="154" t="s">
        <v>786</v>
      </c>
      <c r="J191" s="45">
        <v>72</v>
      </c>
      <c r="K191" s="45">
        <v>301</v>
      </c>
      <c r="L191" s="92">
        <v>302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1" s="154">
        <v>0.27083333333333331</v>
      </c>
      <c r="P191" s="154">
        <v>8.3333333333333329E-2</v>
      </c>
      <c r="Q191" s="92">
        <v>200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1" s="89" t="str">
        <f>IFERROR(_xlfn.XLOOKUP(J191, TabelaMap[SUB], TabelaMap[NOME SUB]), "ERRO")</f>
        <v xml:space="preserve"> ARARAQUARA  -  COLOMBIA</v>
      </c>
      <c r="V191" s="227" t="s">
        <v>1244</v>
      </c>
      <c r="W191" s="194" t="s">
        <v>1242</v>
      </c>
      <c r="X191" s="15"/>
      <c r="Y191" s="20"/>
      <c r="Z191" s="20"/>
      <c r="AA191" s="155">
        <v>1</v>
      </c>
      <c r="AB191" s="78" t="s">
        <v>348</v>
      </c>
      <c r="AC191" s="78" t="s">
        <v>343</v>
      </c>
      <c r="AD191" s="194">
        <v>0.22916666666666666</v>
      </c>
      <c r="AE191" s="92">
        <v>6242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MODERNIZAÇÃO - SOCADORA</v>
      </c>
      <c r="AJ191" s="10" t="str">
        <f>IF(D191="","*",VLOOKUP(AI191,BS_ATIVIDADE[#All],3,FALSE))</f>
        <v>MODERNIZAÇÃO</v>
      </c>
      <c r="AK191" s="146" t="str">
        <f>BS_CONTROLE[[#This Row],[Local - Partida]]</f>
        <v>ZGT1</v>
      </c>
      <c r="AL191" s="146" t="str">
        <f>BS_CONTROLE[[#This Row],[Local - Encerramento]]</f>
        <v>ZGT1</v>
      </c>
      <c r="AM191" s="196" t="str">
        <f>BS_CONTROLE[[#This Row],[Entre - Estações]]</f>
        <v>ZGT-ZXE</v>
      </c>
      <c r="AN191" s="196" t="str">
        <f>BS_CONTROLE[[#This Row],[SB]]</f>
        <v>ZGTZXE</v>
      </c>
      <c r="AO191" s="18">
        <f>BS_CONTROLE[[#This Row],[SUB]]</f>
        <v>72</v>
      </c>
      <c r="AP191" s="18">
        <f>BS_CONTROLE[[#This Row],[KM - Inicio]]</f>
        <v>301</v>
      </c>
      <c r="AQ191" s="18">
        <f>BS_CONTROLE[[#This Row],[KM - Fim]]</f>
        <v>302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1" s="12" t="str">
        <f>IFERROR(_xlfn.XLOOKUP(AO191, TabelaMap[SUB], TabelaMap[NOME SUB]), "ERRO")</f>
        <v xml:space="preserve"> ARARAQUARA  -  COLOMBIA</v>
      </c>
      <c r="BF191" s="18" t="str">
        <f>IF(BS_CONTROLE[[#This Row],[Responsavel pelo boletim]]=0, "-", BS_CONTROLE[[#This Row],[Responsavel pelo boletim]])</f>
        <v>Augusto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 hidden="1">
      <c r="A192" s="58" t="str">
        <f>D192&amp;B192</f>
        <v>LEÔNCIO (TF-526)45947</v>
      </c>
      <c r="B192" s="184">
        <v>45947</v>
      </c>
      <c r="C192" s="9">
        <f>IF(BS_CONTROLE[[#This Row],[DATA]]="","",WEEKNUM(BS_CONTROLE[[#This Row],[DATA]]))</f>
        <v>42</v>
      </c>
      <c r="D192" s="15" t="s">
        <v>312</v>
      </c>
      <c r="E192" s="16"/>
      <c r="F192" s="17" t="s">
        <v>194</v>
      </c>
      <c r="G192" s="10" t="str">
        <f>IF(D192="","*",VLOOKUP(F192,BS_ATIVIDADE[#All],3,FALSE))</f>
        <v>SOLDA</v>
      </c>
      <c r="H192" s="19" t="s">
        <v>11</v>
      </c>
      <c r="I192" s="19" t="s">
        <v>11</v>
      </c>
      <c r="J192" s="18">
        <v>103</v>
      </c>
      <c r="K192" s="18">
        <v>2097</v>
      </c>
      <c r="L192" s="83" t="s">
        <v>11</v>
      </c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2" s="194">
        <v>0.375</v>
      </c>
      <c r="P192" s="194">
        <v>6.25E-2</v>
      </c>
      <c r="Q192" s="92">
        <v>1</v>
      </c>
      <c r="R192" s="11" t="str">
        <f>IFERROR(_xlfn.XLOOKUP(F192, BS_ATIVIDADE[ATIVIDADE],BS_ATIVIDADE[UNIDADE] ), "*")</f>
        <v>Nº DE SOLDA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89" t="str">
        <f>IFERROR(_xlfn.XLOOKUP(J192, TabelaMap[SUB], TabelaMap[NOME SUB]), "ERRO")</f>
        <v xml:space="preserve"> OURO VERDE  -  LIGAÇÃO</v>
      </c>
      <c r="V192" s="227" t="s">
        <v>1622</v>
      </c>
      <c r="W192" s="46" t="s">
        <v>1601</v>
      </c>
      <c r="X192" s="15"/>
      <c r="Y192" s="20"/>
      <c r="Z192" s="20"/>
      <c r="AA192" s="170" t="s">
        <v>11</v>
      </c>
      <c r="AB192" s="17" t="s">
        <v>11</v>
      </c>
      <c r="AC192" s="78" t="s">
        <v>11</v>
      </c>
      <c r="AD192" s="92" t="s">
        <v>11</v>
      </c>
      <c r="AE192" s="92" t="s">
        <v>11</v>
      </c>
      <c r="AF192" s="92" t="s">
        <v>11</v>
      </c>
      <c r="AG192" s="92" t="s">
        <v>11</v>
      </c>
      <c r="AH192" s="21"/>
      <c r="AI192" s="17" t="str">
        <f>IF(BS_CONTROLE[[#This Row],[Atividade]]=0, "-", BS_CONTROLE[[#This Row],[Atividade]])</f>
        <v>PDM - SOLDA</v>
      </c>
      <c r="AJ192" s="10" t="str">
        <f>IF(D192="","*",VLOOKUP(AI192,BS_ATIVIDADE[#All],3,FALSE))</f>
        <v>SOLDA</v>
      </c>
      <c r="AK192" s="146" t="str">
        <f>BS_CONTROLE[[#This Row],[Local - Partida]]</f>
        <v>-</v>
      </c>
      <c r="AL192" s="146" t="str">
        <f>BS_CONTROLE[[#This Row],[Local - Encerramento]]</f>
        <v>-</v>
      </c>
      <c r="AM192" s="196" t="str">
        <f>BS_CONTROLE[[#This Row],[Entre - Estações]]</f>
        <v>PIT-K97</v>
      </c>
      <c r="AN192" s="196" t="str">
        <f>BS_CONTROLE[[#This Row],[SB]]</f>
        <v>PITK96</v>
      </c>
      <c r="AO192" s="18">
        <f>BS_CONTROLE[[#This Row],[SUB]]</f>
        <v>103</v>
      </c>
      <c r="AP192" s="18">
        <f>BS_CONTROLE[[#This Row],[KM - Inicio]]</f>
        <v>2097</v>
      </c>
      <c r="AQ192" s="18" t="str">
        <f>BS_CONTROLE[[#This Row],[KM - Fim]]</f>
        <v>-</v>
      </c>
      <c r="AR192" s="46"/>
      <c r="AS192" s="46"/>
      <c r="AT192" s="46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Nº DE SOLDA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2" t="str">
        <f>IFERROR(_xlfn.XLOOKUP(AO192, TabelaMap[SUB], TabelaMap[NOME SUB]), "ERRO")</f>
        <v xml:space="preserve"> OURO VERDE  -  LIGAÇÃO</v>
      </c>
      <c r="BF192" s="18" t="str">
        <f>IF(BS_CONTROLE[[#This Row],[Responsavel pelo boletim]]=0, "-", BS_CONTROLE[[#This Row],[Responsavel pelo boletim]])</f>
        <v>Lucas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1670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1671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1672</v>
      </c>
      <c r="BK275" s="23" t="s">
        <v>1672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1673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1674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1675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1676</v>
      </c>
      <c r="N298" s="18" t="s">
        <v>1677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1674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1678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3:J174 J169:J170 L183 J175:K186 J187 J188:K421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X173:Y183 V184:Y186 W187:Y187 V188:Y189 X190:Y190 V190 V191:Y191 V193:Y421 X192:Y19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3 Z184:AC184 Z185:AD185 Z186:AC186 Z193:AD421 Z190:AC190 Z191:Z192 AC191:AC192 Z187:AD189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0 W192" name="Range1_11_2"/>
    <protectedRange sqref="Z111:AD111 Z124:AB124 AD124 Z135:AB135 AD135 Z142:AB142 AD142 Z154:AB154 AA164:AB164 AA180:AB180 AA192:AB192" name="Range1_12_6"/>
    <protectedRange sqref="Z106" name="Range1_12_7"/>
    <protectedRange sqref="V106:W106" name="Range1_11_8_2"/>
    <protectedRange sqref="K157 K173:K174 K187" name="Range1_8_3_1"/>
    <protectedRange sqref="V157 V173 V187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 V192" name="Range1_11_7"/>
    <protectedRange sqref="AA163:AD163 AA179:AD179" name="Range1_12_11"/>
    <protectedRange sqref="V148 V183" name="Range1_11_9"/>
    <protectedRange sqref="W148 W169 W183" name="Range1_11_10"/>
    <protectedRange sqref="AA148:AD148 AA183:AD183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86" operator="equal">
      <formula>"ERRO"</formula>
    </cfRule>
  </conditionalFormatting>
  <conditionalFormatting sqref="X4 Y1:Z5 Y463:Y538 Y422:Z462">
    <cfRule type="cellIs" dxfId="2529" priority="4575" operator="equal">
      <formula>"OPORTUNIDADE"</formula>
    </cfRule>
  </conditionalFormatting>
  <conditionalFormatting sqref="AZ6:AZ510">
    <cfRule type="expression" dxfId="2528" priority="4570">
      <formula>$BU6=1</formula>
    </cfRule>
  </conditionalFormatting>
  <conditionalFormatting sqref="BQ6:BQ540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0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3:X510 Y463:Y538 Y422:Z462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3:X510">
    <cfRule type="cellIs" dxfId="2517" priority="4510" operator="equal">
      <formula>"OPORTUNIDADE"</formula>
    </cfRule>
  </conditionalFormatting>
  <conditionalFormatting sqref="Z463:Z510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3:Z510">
    <cfRule type="cellIs" dxfId="2514" priority="4507" operator="equal">
      <formula>"OPORTUNIDADE"</formula>
    </cfRule>
  </conditionalFormatting>
  <conditionalFormatting sqref="Y1048563:Y1048576">
    <cfRule type="cellIs" dxfId="2513" priority="4392" operator="equal">
      <formula>"OPORTUNIDADE"</formula>
    </cfRule>
  </conditionalFormatting>
  <conditionalFormatting sqref="Y1048563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1:Z536">
    <cfRule type="cellIs" dxfId="2510" priority="4127" operator="equal">
      <formula>"OPORTUNIDADE"</formula>
    </cfRule>
  </conditionalFormatting>
  <conditionalFormatting sqref="Z511:Z536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37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37">
    <cfRule type="cellIs" dxfId="2505" priority="4112" operator="equal">
      <formula>"OPORTUNIDADE"</formula>
    </cfRule>
  </conditionalFormatting>
  <conditionalFormatting sqref="Z537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37">
    <cfRule type="cellIs" dxfId="2502" priority="4109" operator="equal">
      <formula>"OPORTUNIDADE"</formula>
    </cfRule>
  </conditionalFormatting>
  <conditionalFormatting sqref="BI537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0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9">
      <formula>$BU485=1</formula>
    </cfRule>
  </conditionalFormatting>
  <conditionalFormatting sqref="BI511:BI53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171 BO173:BO297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68 BK158:BK165 BK174:BK175 BK170:BK172 BK177 BK181:BK297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E174 AE184 AE186 AE190 AE192 AG6:AG510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171 BN173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 BN172:BO172" xr:uid="{0374E4CD-E1C2-4373-A381-0828C9AFF6FF}">
      <formula1>IMPCAUSADOR</formula1>
    </dataValidation>
    <dataValidation type="list" allowBlank="1" showInputMessage="1" showErrorMessage="1" sqref="BO299:BO540 BO6:BO135 BO142 BO137:BO140 BO146 BO148:BO171 BO173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AB177:AB185 AB191:AB540 AB187:AB189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AB186 AB190 AC6:AC540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70" sqref="A170:Q180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1679</v>
      </c>
      <c r="D5" s="352"/>
      <c r="E5" s="352"/>
      <c r="F5" s="352"/>
      <c r="G5" s="352"/>
      <c r="H5" s="352"/>
      <c r="I5" s="352"/>
      <c r="J5" s="353"/>
      <c r="K5" s="354" t="s">
        <v>1680</v>
      </c>
      <c r="L5" s="355"/>
      <c r="M5" s="355"/>
      <c r="N5" s="355"/>
      <c r="O5" s="356" t="s">
        <v>1681</v>
      </c>
      <c r="P5" s="357"/>
      <c r="Q5" s="358"/>
    </row>
    <row r="6" spans="1:17" s="102" customFormat="1" ht="15.75" customHeight="1">
      <c r="A6" s="96" t="s">
        <v>1682</v>
      </c>
      <c r="B6" s="103" t="s">
        <v>1683</v>
      </c>
      <c r="C6" s="104" t="s">
        <v>1169</v>
      </c>
      <c r="D6" s="105" t="s">
        <v>1170</v>
      </c>
      <c r="E6" s="104" t="s">
        <v>1684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1685</v>
      </c>
      <c r="M6" s="150" t="s">
        <v>30</v>
      </c>
      <c r="N6" s="151" t="s">
        <v>1164</v>
      </c>
      <c r="O6" s="315" t="s">
        <v>1207</v>
      </c>
      <c r="P6" s="169"/>
      <c r="Q6" s="216" t="s">
        <v>1686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3" spans="1:17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Solicitado MC1 09h52 (atraso) - Devido o atraso na solicitação, perdeu oportunidade de intervalo</v>
      </c>
    </row>
    <row r="175" spans="1:17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Turma pronta 07:59/Prev. intervalo após i06 às 11h/Informou temperatura alta 11:15</v>
      </c>
    </row>
    <row r="176" spans="1:17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2</v>
      </c>
      <c r="P176" s="99"/>
      <c r="Q176" s="157" t="str">
        <f>IF($A$2=1,IF(FN_MC!BJ177="","*",FN_MC!BJ177),IF(FN_MC!BK177="","*",FN_MC!BK177))</f>
        <v>Solicitado MC1 com atraso (09h02) - Em intervalo para exec. de soldas entre ZVT-ZDK, inciado às 09:53 até 12:53</v>
      </c>
    </row>
    <row r="177" spans="1:17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Programado para 08:00 e não solicitou macro 1/Perdendo oportunidade de FX</v>
      </c>
    </row>
    <row r="178" spans="1:17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 xml:space="preserve">Devido V63 que iria levar turma para o interv. não solicitar MC1/ TP mudou o local para o km  2093+600 ao 2094+100/Intervalo aberto das 11:30 até 12:00
</v>
      </c>
    </row>
    <row r="179" spans="1:17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2</v>
      </c>
      <c r="P179" s="99"/>
      <c r="Q179" s="157" t="str">
        <f>IF($A$2=1,IF(FN_MC!BJ181="","*",FN_MC!BJ181),IF(FN_MC!BK181="","*",FN_MC!BK181))</f>
        <v>Macro 28 08:25/Lic. 08:42/Em deslocamento</v>
      </c>
    </row>
    <row r="180" spans="1:17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2</v>
      </c>
      <c r="P180" s="99"/>
      <c r="Q180" s="157" t="str">
        <f>IF($A$2=1,IF(FN_MC!BJ182="","*",FN_MC!BJ182),IF(FN_MC!BK182="","*",FN_MC!BK182))</f>
        <v>Macro 28 08:48/Lic. 09:03/Em deslocamento</v>
      </c>
    </row>
    <row r="181" spans="1:17" hidden="1">
      <c r="A181" s="106">
        <f>IF(FN_MC!B183="","*",FN_MC!B183)</f>
        <v>45947</v>
      </c>
      <c r="B181" s="107" t="str">
        <f>IF(FN_MC!X183="","*",FN_MC!X183)</f>
        <v>*</v>
      </c>
      <c r="C181" s="108" t="str">
        <f>IF(FN_MC!S183="","*",FN_MC!S183)</f>
        <v>FERRONORTE</v>
      </c>
      <c r="D181" s="108" t="str">
        <f>IF(FN_MC!T183="","*",FN_MC!T183)</f>
        <v>TGR-TRO</v>
      </c>
      <c r="E181" s="108" t="str">
        <f>IF(FN_MC!D183="","*",FN_MC!D183)</f>
        <v>E14</v>
      </c>
      <c r="F181" s="108" t="str">
        <f>IF(FN_MC!H183="","*",FN_MC!H183)</f>
        <v>TSF1</v>
      </c>
      <c r="G181" s="108" t="str">
        <f>IF(FN_MC!M183="","*",FN_MC!M183)</f>
        <v>TAL-TIQ</v>
      </c>
      <c r="H181" s="166">
        <f>IF(FN_MC!K183="","*",FN_MC!K183)</f>
        <v>690.99199999999996</v>
      </c>
      <c r="I181" s="141">
        <f>IF(FN_MC!O183="","*",FN_MC!O183)</f>
        <v>0.875</v>
      </c>
      <c r="J181" s="141">
        <f>IF(FN_MC!P183="","*",FN_MC!P183)</f>
        <v>4.1666666666666664E-2</v>
      </c>
      <c r="K181" s="152" t="str">
        <f>IF(FN_MC!AK183="","*",FN_MC!AK183)</f>
        <v>TSF1</v>
      </c>
      <c r="L181" s="152" t="str">
        <f>IF(FN_MC!AM183="","*",FN_MC!AM183)</f>
        <v>TAL-TIQ</v>
      </c>
      <c r="M181" s="152">
        <f>IF(FN_MC!AP183="","*",FN_MC!AP183)</f>
        <v>690.99199999999996</v>
      </c>
      <c r="N181" s="152" t="str">
        <f>IF(FN_MC!AM183="","*",FN_MC!AM183)</f>
        <v>TAL-TIQ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>
        <f>IF(FN_MC!B184="","*",FN_MC!B184)</f>
        <v>45947</v>
      </c>
      <c r="B182" s="107" t="str">
        <f>IF(FN_MC!X184="","*",FN_MC!X184)</f>
        <v>*</v>
      </c>
      <c r="C182" s="108" t="str">
        <f>IF(FN_MC!S184="","*",FN_MC!S184)</f>
        <v>FERRONORTE</v>
      </c>
      <c r="D182" s="108" t="str">
        <f>IF(FN_MC!T184="","*",FN_MC!T184)</f>
        <v>TGR-TRO</v>
      </c>
      <c r="E182" s="108" t="str">
        <f>IF(FN_MC!D184="","*",FN_MC!D184)</f>
        <v>V80</v>
      </c>
      <c r="F182" s="108" t="str">
        <f>IF(FN_MC!H184="","*",FN_MC!H184)</f>
        <v>TIQ</v>
      </c>
      <c r="G182" s="108" t="str">
        <f>IF(FN_MC!M184="","*",FN_MC!M184)</f>
        <v>TIQ-TGR</v>
      </c>
      <c r="H182" s="166">
        <f>IF(FN_MC!K184="","*",FN_MC!K184)</f>
        <v>617.86800000000005</v>
      </c>
      <c r="I182" s="141">
        <f>IF(FN_MC!O184="","*",FN_MC!O184)</f>
        <v>0.39583333333333331</v>
      </c>
      <c r="J182" s="141">
        <f>IF(FN_MC!P184="","*",FN_MC!P184)</f>
        <v>4.1666666666666664E-2</v>
      </c>
      <c r="K182" s="152" t="str">
        <f>IF(FN_MC!AK184="","*",FN_MC!AK184)</f>
        <v>TIQ</v>
      </c>
      <c r="L182" s="152" t="str">
        <f>IF(FN_MC!AM184="","*",FN_MC!AM184)</f>
        <v>TIQ-TGR</v>
      </c>
      <c r="M182" s="152">
        <f>IF(FN_MC!AP184="","*",FN_MC!AP184)</f>
        <v>617.86800000000005</v>
      </c>
      <c r="N182" s="152" t="str">
        <f>IF(FN_MC!AM184="","*",FN_MC!AM184)</f>
        <v>TIQ-TGR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>
        <f>IF(FN_MC!B185="","*",FN_MC!B185)</f>
        <v>45947</v>
      </c>
      <c r="B183" s="107" t="str">
        <f>IF(FN_MC!X185="","*",FN_MC!X185)</f>
        <v>*</v>
      </c>
      <c r="C183" s="108" t="str">
        <f>IF(FN_MC!S185="","*",FN_MC!S185)</f>
        <v>FERRONORTE</v>
      </c>
      <c r="D183" s="108" t="str">
        <f>IF(FN_MC!T185="","*",FN_MC!T185)</f>
        <v>TCS-TGR</v>
      </c>
      <c r="E183" s="108" t="str">
        <f>IF(FN_MC!D185="","*",FN_MC!D185)</f>
        <v>W70</v>
      </c>
      <c r="F183" s="108" t="str">
        <f>IF(FN_MC!H185="","*",FN_MC!H185)</f>
        <v>TCS</v>
      </c>
      <c r="G183" s="108" t="str">
        <f>IF(FN_MC!M185="","*",FN_MC!M185)</f>
        <v>TLA-TSE</v>
      </c>
      <c r="H183" s="166">
        <f>IF(FN_MC!K185="","*",FN_MC!K185)</f>
        <v>343.3</v>
      </c>
      <c r="I183" s="141">
        <f>IF(FN_MC!O185="","*",FN_MC!O185)</f>
        <v>0.39583333333333331</v>
      </c>
      <c r="J183" s="141">
        <f>IF(FN_MC!P185="","*",FN_MC!P185)</f>
        <v>8.3333333333333329E-2</v>
      </c>
      <c r="K183" s="152" t="str">
        <f>IF(FN_MC!AK185="","*",FN_MC!AK185)</f>
        <v>TCS</v>
      </c>
      <c r="L183" s="152" t="str">
        <f>IF(FN_MC!AM185="","*",FN_MC!AM185)</f>
        <v>TLA-TSE</v>
      </c>
      <c r="M183" s="152">
        <f>IF(FN_MC!AP185="","*",FN_MC!AP185)</f>
        <v>343.3</v>
      </c>
      <c r="N183" s="152" t="str">
        <f>IF(FN_MC!AM185="","*",FN_MC!AM185)</f>
        <v>TLA-TSE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>
        <f>IF(FN_MC!B186="","*",FN_MC!B186)</f>
        <v>45947</v>
      </c>
      <c r="B184" s="107" t="str">
        <f>IF(FN_MC!X186="","*",FN_MC!X186)</f>
        <v>*</v>
      </c>
      <c r="C184" s="108" t="str">
        <f>IF(FN_MC!S186="","*",FN_MC!S186)</f>
        <v>FERRONORTE</v>
      </c>
      <c r="D184" s="108" t="str">
        <f>IF(FN_MC!T186="","*",FN_MC!T186)</f>
        <v>TCS-TGR</v>
      </c>
      <c r="E184" s="108" t="str">
        <f>IF(FN_MC!D186="","*",FN_MC!D186)</f>
        <v>BRUNO (TF-525)</v>
      </c>
      <c r="F184" s="108" t="str">
        <f>IF(FN_MC!H186="","*",FN_MC!H186)</f>
        <v>-</v>
      </c>
      <c r="G184" s="108" t="str">
        <f>IF(FN_MC!M186="","*",FN_MC!M186)</f>
        <v>TRC-THE</v>
      </c>
      <c r="H184" s="166">
        <f>IF(FN_MC!K186="","*",FN_MC!K186)</f>
        <v>294.95</v>
      </c>
      <c r="I184" s="141">
        <f>IF(FN_MC!O186="","*",FN_MC!O186)</f>
        <v>0.375</v>
      </c>
      <c r="J184" s="141">
        <f>IF(FN_MC!P186="","*",FN_MC!P186)</f>
        <v>6.25E-2</v>
      </c>
      <c r="K184" s="152" t="str">
        <f>IF(FN_MC!AK186="","*",FN_MC!AK186)</f>
        <v>-</v>
      </c>
      <c r="L184" s="152" t="str">
        <f>IF(FN_MC!AM186="","*",FN_MC!AM186)</f>
        <v>TRC-THE</v>
      </c>
      <c r="M184" s="152">
        <f>IF(FN_MC!AP186="","*",FN_MC!AP186)</f>
        <v>294.95</v>
      </c>
      <c r="N184" s="152" t="str">
        <f>IF(FN_MC!AM186="","*",FN_MC!AM186)</f>
        <v>TRC-THE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>
        <f>IF(FN_MC!B187="","*",FN_MC!B187)</f>
        <v>45947</v>
      </c>
      <c r="B185" s="107" t="str">
        <f>IF(FN_MC!X187="","*",FN_MC!X187)</f>
        <v>*</v>
      </c>
      <c r="C185" s="108" t="str">
        <f>IF(FN_MC!S187="","*",FN_MC!S187)</f>
        <v>FERRONORTE</v>
      </c>
      <c r="D185" s="108" t="str">
        <f>IF(FN_MC!T187="","*",FN_MC!T187)</f>
        <v>TMI-TCS</v>
      </c>
      <c r="E185" s="108" t="str">
        <f>IF(FN_MC!D187="","*",FN_MC!D187)</f>
        <v>W50</v>
      </c>
      <c r="F185" s="108" t="str">
        <f>IF(FN_MC!H187="","*",FN_MC!H187)</f>
        <v>TCS</v>
      </c>
      <c r="G185" s="108" t="str">
        <f>IF(FN_MC!M187="","*",FN_MC!M187)</f>
        <v>TCS-TIN</v>
      </c>
      <c r="H185" s="166">
        <f>IF(FN_MC!K187="","*",FN_MC!K187)</f>
        <v>290</v>
      </c>
      <c r="I185" s="141">
        <f>IF(FN_MC!O187="","*",FN_MC!O187)</f>
        <v>0.45833333333333331</v>
      </c>
      <c r="J185" s="141">
        <f>IF(FN_MC!P187="","*",FN_MC!P187)</f>
        <v>4.1666666666666664E-2</v>
      </c>
      <c r="K185" s="152" t="str">
        <f>IF(FN_MC!AK187="","*",FN_MC!AK187)</f>
        <v>TCS</v>
      </c>
      <c r="L185" s="152" t="str">
        <f>IF(FN_MC!AM187="","*",FN_MC!AM187)</f>
        <v>TCS-TIN</v>
      </c>
      <c r="M185" s="152">
        <f>IF(FN_MC!AP187="","*",FN_MC!AP187)</f>
        <v>290</v>
      </c>
      <c r="N185" s="152" t="str">
        <f>IF(FN_MC!AM187="","*",FN_MC!AM187)</f>
        <v>TCS-TIN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>
        <f>IF(FN_MC!B192="","*",FN_MC!B192)</f>
        <v>45947</v>
      </c>
      <c r="B186" s="107" t="str">
        <f>IF(FN_MC!X192="","*",FN_MC!X192)</f>
        <v>*</v>
      </c>
      <c r="C186" s="108" t="str">
        <f>IF(FN_MC!S192="","*",FN_MC!S192)</f>
        <v>MALHA CENTRAL</v>
      </c>
      <c r="D186" s="108" t="str">
        <f>IF(FN_MC!T192="","*",FN_MC!T192)</f>
        <v>PRV-POV</v>
      </c>
      <c r="E186" s="108" t="str">
        <f>IF(FN_MC!D192="","*",FN_MC!D192)</f>
        <v>LEÔNCIO (TF-526)</v>
      </c>
      <c r="F186" s="108" t="str">
        <f>IF(FN_MC!H192="","*",FN_MC!H192)</f>
        <v>-</v>
      </c>
      <c r="G186" s="108" t="str">
        <f>IF(FN_MC!M192="","*",FN_MC!M192)</f>
        <v>PIT-K97</v>
      </c>
      <c r="H186" s="166">
        <f>IF(FN_MC!K192="","*",FN_MC!K192)</f>
        <v>2097</v>
      </c>
      <c r="I186" s="141">
        <f>IF(FN_MC!O192="","*",FN_MC!O192)</f>
        <v>0.375</v>
      </c>
      <c r="J186" s="141">
        <f>IF(FN_MC!P192="","*",FN_MC!P192)</f>
        <v>6.25E-2</v>
      </c>
      <c r="K186" s="152" t="str">
        <f>IF(FN_MC!AK192="","*",FN_MC!AK192)</f>
        <v>-</v>
      </c>
      <c r="L186" s="152" t="str">
        <f>IF(FN_MC!AM192="","*",FN_MC!AM192)</f>
        <v>PIT-K97</v>
      </c>
      <c r="M186" s="152">
        <f>IF(FN_MC!AP192="","*",FN_MC!AP192)</f>
        <v>2097</v>
      </c>
      <c r="N186" s="152" t="str">
        <f>IF(FN_MC!AM192="","*",FN_MC!AM192)</f>
        <v>PIT-K97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1686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1687</v>
      </c>
      <c r="W1" s="364"/>
      <c r="X1" s="364"/>
      <c r="Y1" s="113"/>
    </row>
    <row r="2" spans="1:25" s="109" customFormat="1" ht="11.25" customHeight="1">
      <c r="A2" s="114" t="s">
        <v>1688</v>
      </c>
      <c r="B2" s="114" t="s">
        <v>1683</v>
      </c>
      <c r="C2" s="114" t="s">
        <v>7</v>
      </c>
      <c r="D2" s="115" t="s">
        <v>1169</v>
      </c>
      <c r="E2" s="115" t="s">
        <v>1170</v>
      </c>
      <c r="F2" s="115" t="s">
        <v>1682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1689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FERRONORTE</v>
      </c>
      <c r="E179" s="119" t="str">
        <f>IF(FN_MC!T183="","*",FN_MC!T183)</f>
        <v>TGR-TRO</v>
      </c>
      <c r="F179" s="119">
        <f>IF(FN_MC!B183="","*",FN_MC!B183)</f>
        <v>45947</v>
      </c>
      <c r="G179" s="119" t="str">
        <f>IF(FN_MC!D183="","*",FN_MC!D183)</f>
        <v>E14</v>
      </c>
      <c r="H179" s="119" t="str">
        <f>IF(FN_MC!F183="","*",FN_MC!F183)</f>
        <v>MECANIZAÇÃO - ESMERILHADORA</v>
      </c>
      <c r="I179" s="119" t="str">
        <f>IF(FN_MC!H183="","*",FN_MC!H183)</f>
        <v>TSF1</v>
      </c>
      <c r="J179" s="119" t="str">
        <f>IF(FN_MC!I183="","*",FN_MC!I183)</f>
        <v>TSF1</v>
      </c>
      <c r="K179" s="119" t="str">
        <f>IF(FN_MC!M183="","*",FN_MC!M183)</f>
        <v>TAL-TIQ</v>
      </c>
      <c r="L179" s="119" t="str">
        <f>IF(FN_MC!N183="","*",FN_MC!N183)</f>
        <v>TALTIQ</v>
      </c>
      <c r="M179" s="120">
        <f>IF(FN_MC!J183="","*",FN_MC!J183)</f>
        <v>98</v>
      </c>
      <c r="N179" s="120">
        <f>IF(FN_MC!K183="","*",FN_MC!K183)</f>
        <v>690.99199999999996</v>
      </c>
      <c r="O179" s="120">
        <f>IF(FN_MC!L183="","*",FN_MC!L183)</f>
        <v>617.86800000000005</v>
      </c>
      <c r="P179" s="120"/>
      <c r="Q179" s="137">
        <f>IF(FN_MC!O183="","*",FN_MC!O183)</f>
        <v>0.875</v>
      </c>
      <c r="R179" s="137">
        <f>IF(FN_MC!P183="","*",FN_MC!P183)</f>
        <v>4.1666666666666664E-2</v>
      </c>
      <c r="S179" s="119" t="str">
        <f>IF(FN_MC!Q183="","*",CONCATENATE(FN_MC!Q183," ",FN_MC!R183))</f>
        <v>20000 M</v>
      </c>
      <c r="T179" s="119" t="str">
        <f>IF(FN_MC!V183="","*",FN_MC!V183)</f>
        <v>Fernanda</v>
      </c>
      <c r="U179" s="119" t="str">
        <f>IF(FN_MC!W183="","*",FN_MC!W183)</f>
        <v>Serviços com a esmerilhadora</v>
      </c>
      <c r="V179" s="121">
        <f ca="1">_xlfn.XLOOKUP(G179&amp;$V$2,BS_CONTROLE[CHAVE],BS_CONTROLE[Quantidade_11],"-")</f>
        <v>31030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25920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FERRONORTE</v>
      </c>
      <c r="E180" s="119" t="str">
        <f>IF(FN_MC!T184="","*",FN_MC!T184)</f>
        <v>TGR-TRO</v>
      </c>
      <c r="F180" s="119">
        <f>IF(FN_MC!B184="","*",FN_MC!B184)</f>
        <v>45947</v>
      </c>
      <c r="G180" s="119" t="str">
        <f>IF(FN_MC!D184="","*",FN_MC!D184)</f>
        <v>V80</v>
      </c>
      <c r="H180" s="119" t="str">
        <f>IF(FN_MC!F184="","*",FN_MC!F184)</f>
        <v>INSPEÇÃO RIV</v>
      </c>
      <c r="I180" s="119" t="str">
        <f>IF(FN_MC!H184="","*",FN_MC!H184)</f>
        <v>TIQ</v>
      </c>
      <c r="J180" s="119" t="str">
        <f>IF(FN_MC!I184="","*",FN_MC!I184)</f>
        <v>TGR</v>
      </c>
      <c r="K180" s="119" t="str">
        <f>IF(FN_MC!M184="","*",FN_MC!M184)</f>
        <v>TIQ-TGR</v>
      </c>
      <c r="L180" s="119" t="str">
        <f>IF(FN_MC!N184="","*",FN_MC!N184)</f>
        <v>TIQTGR</v>
      </c>
      <c r="M180" s="120">
        <f>IF(FN_MC!J184="","*",FN_MC!J184)</f>
        <v>98</v>
      </c>
      <c r="N180" s="120">
        <f>IF(FN_MC!K184="","*",FN_MC!K184)</f>
        <v>617.86800000000005</v>
      </c>
      <c r="O180" s="120">
        <f>IF(FN_MC!L184="","*",FN_MC!L184)</f>
        <v>501.22</v>
      </c>
      <c r="P180" s="120"/>
      <c r="Q180" s="137">
        <f>IF(FN_MC!O184="","*",FN_MC!O184)</f>
        <v>0.39583333333333331</v>
      </c>
      <c r="R180" s="137">
        <f>IF(FN_MC!P184="","*",FN_MC!P184)</f>
        <v>4.1666666666666664E-2</v>
      </c>
      <c r="S180" s="119" t="str">
        <f>IF(FN_MC!Q184="","*",CONCATENATE(FN_MC!Q184," ",FN_MC!R184))</f>
        <v>1 BINÁRIO</v>
      </c>
      <c r="T180" s="119" t="str">
        <f>IF(FN_MC!V184="","*",FN_MC!V184)</f>
        <v>Fernanda</v>
      </c>
      <c r="U180" s="119" t="str">
        <f>IF(FN_MC!W184="","*",FN_MC!W184)</f>
        <v>Inspeção RIV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FERRONORTE</v>
      </c>
      <c r="E181" s="119" t="str">
        <f>IF(FN_MC!T185="","*",FN_MC!T185)</f>
        <v>TCS-TGR</v>
      </c>
      <c r="F181" s="119">
        <f>IF(FN_MC!B185="","*",FN_MC!B185)</f>
        <v>45947</v>
      </c>
      <c r="G181" s="119" t="str">
        <f>IF(FN_MC!D185="","*",FN_MC!D185)</f>
        <v>W70</v>
      </c>
      <c r="H181" s="119" t="str">
        <f>IF(FN_MC!F185="","*",FN_MC!F185)</f>
        <v>PDM - DESCARGA - DORMENTE</v>
      </c>
      <c r="I181" s="119" t="str">
        <f>IF(FN_MC!H185="","*",FN_MC!H185)</f>
        <v>TCS</v>
      </c>
      <c r="J181" s="119" t="str">
        <f>IF(FN_MC!I185="","*",FN_MC!I185)</f>
        <v>TCS</v>
      </c>
      <c r="K181" s="119" t="str">
        <f>IF(FN_MC!M185="","*",FN_MC!M185)</f>
        <v>TLA-TSE</v>
      </c>
      <c r="L181" s="119" t="str">
        <f>IF(FN_MC!N185="","*",FN_MC!N185)</f>
        <v>TLA350</v>
      </c>
      <c r="M181" s="120">
        <f>IF(FN_MC!J185="","*",FN_MC!J185)</f>
        <v>74</v>
      </c>
      <c r="N181" s="120">
        <f>IF(FN_MC!K185="","*",FN_MC!K185)</f>
        <v>343.3</v>
      </c>
      <c r="O181" s="120" t="str">
        <f>IF(FN_MC!L185="","*",FN_MC!L185)</f>
        <v>-</v>
      </c>
      <c r="P181" s="120"/>
      <c r="Q181" s="137">
        <f>IF(FN_MC!O185="","*",FN_MC!O185)</f>
        <v>0.39583333333333331</v>
      </c>
      <c r="R181" s="137">
        <f>IF(FN_MC!P185="","*",FN_MC!P185)</f>
        <v>8.3333333333333329E-2</v>
      </c>
      <c r="S181" s="119" t="str">
        <f>IF(FN_MC!Q185="","*",CONCATENATE(FN_MC!Q185," ",FN_MC!R185))</f>
        <v>233 Nº DE DORMENTES</v>
      </c>
      <c r="T181" s="119" t="str">
        <f>IF(FN_MC!V185="","*",FN_MC!V185)</f>
        <v>Ronaldo</v>
      </c>
      <c r="U181" s="119" t="str">
        <f>IF(FN_MC!W185="","*",FN_MC!W185)</f>
        <v xml:space="preserve">Descarga de dormentes </v>
      </c>
      <c r="V181" s="121">
        <f ca="1">_xlfn.XLOOKUP(G181&amp;$V$2,BS_CONTROLE[CHAVE],BS_CONTROLE[Quantidade_11],"-")</f>
        <v>1</v>
      </c>
      <c r="W181" s="121">
        <f ca="1">_xlfn.XLOOKUP(G181&amp;$W$2,BS_CONTROLE[CHAVE],BS_CONTROLE[Quantidade_11],"-")</f>
        <v>143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FERRONORTE</v>
      </c>
      <c r="E182" s="119" t="str">
        <f>IF(FN_MC!T186="","*",FN_MC!T186)</f>
        <v>TCS-TGR</v>
      </c>
      <c r="F182" s="119">
        <f>IF(FN_MC!B186="","*",FN_MC!B186)</f>
        <v>45947</v>
      </c>
      <c r="G182" s="119" t="str">
        <f>IF(FN_MC!D186="","*",FN_MC!D186)</f>
        <v>BRUNO (TF-525)</v>
      </c>
      <c r="H182" s="119" t="str">
        <f>IF(FN_MC!F186="","*",FN_MC!F186)</f>
        <v>PDM - SOLDA</v>
      </c>
      <c r="I182" s="119" t="str">
        <f>IF(FN_MC!H186="","*",FN_MC!H186)</f>
        <v>-</v>
      </c>
      <c r="J182" s="119" t="str">
        <f>IF(FN_MC!I186="","*",FN_MC!I186)</f>
        <v>-</v>
      </c>
      <c r="K182" s="119" t="str">
        <f>IF(FN_MC!M186="","*",FN_MC!M186)</f>
        <v>TRC-THE</v>
      </c>
      <c r="L182" s="119" t="str">
        <f>IF(FN_MC!N186="","*",FN_MC!N186)</f>
        <v>294THE</v>
      </c>
      <c r="M182" s="120">
        <f>IF(FN_MC!J186="","*",FN_MC!J186)</f>
        <v>74</v>
      </c>
      <c r="N182" s="120">
        <f>IF(FN_MC!K186="","*",FN_MC!K186)</f>
        <v>294.95</v>
      </c>
      <c r="O182" s="120" t="str">
        <f>IF(FN_MC!L186="","*",FN_MC!L186)</f>
        <v>-</v>
      </c>
      <c r="P182" s="120"/>
      <c r="Q182" s="137">
        <f>IF(FN_MC!O186="","*",FN_MC!O186)</f>
        <v>0.375</v>
      </c>
      <c r="R182" s="137">
        <f>IF(FN_MC!P186="","*",FN_MC!P186)</f>
        <v>6.25E-2</v>
      </c>
      <c r="S182" s="119" t="str">
        <f>IF(FN_MC!Q186="","*",CONCATENATE(FN_MC!Q186," ",FN_MC!R186))</f>
        <v>1 Nº DE SOLDA</v>
      </c>
      <c r="T182" s="119" t="str">
        <f>IF(FN_MC!V186="","*",FN_MC!V186)</f>
        <v>Bruno</v>
      </c>
      <c r="U182" s="119" t="str">
        <f>IF(FN_MC!W186="","*",FN_MC!W186)</f>
        <v>Solda - Condicionado á temperatura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FERRONORTE</v>
      </c>
      <c r="E183" s="119" t="str">
        <f>IF(FN_MC!T187="","*",FN_MC!T187)</f>
        <v>TMI-TCS</v>
      </c>
      <c r="F183" s="119">
        <f>IF(FN_MC!B187="","*",FN_MC!B187)</f>
        <v>45947</v>
      </c>
      <c r="G183" s="119" t="str">
        <f>IF(FN_MC!D187="","*",FN_MC!D187)</f>
        <v>W50</v>
      </c>
      <c r="H183" s="119" t="str">
        <f>IF(FN_MC!F187="","*",FN_MC!F187)</f>
        <v>DESLOCAMENTO</v>
      </c>
      <c r="I183" s="119" t="str">
        <f>IF(FN_MC!H187="","*",FN_MC!H187)</f>
        <v>TCS</v>
      </c>
      <c r="J183" s="119" t="str">
        <f>IF(FN_MC!I187="","*",FN_MC!I187)</f>
        <v>TIN</v>
      </c>
      <c r="K183" s="119" t="str">
        <f>IF(FN_MC!M187="","*",FN_MC!M187)</f>
        <v>TCS-TIN</v>
      </c>
      <c r="L183" s="119" t="str">
        <f>IF(FN_MC!N187="","*",FN_MC!N187)</f>
        <v>TCSTIN</v>
      </c>
      <c r="M183" s="120">
        <f>IF(FN_MC!J187="","*",FN_MC!J187)</f>
        <v>74</v>
      </c>
      <c r="N183" s="120">
        <f>IF(FN_MC!K187="","*",FN_MC!K187)</f>
        <v>290</v>
      </c>
      <c r="O183" s="120" t="str">
        <f>IF(FN_MC!L187="","*",FN_MC!L187)</f>
        <v>-</v>
      </c>
      <c r="P183" s="120"/>
      <c r="Q183" s="137">
        <f>IF(FN_MC!O187="","*",FN_MC!O187)</f>
        <v>0.45833333333333331</v>
      </c>
      <c r="R183" s="137">
        <f>IF(FN_MC!P187="","*",FN_MC!P187)</f>
        <v>4.1666666666666664E-2</v>
      </c>
      <c r="S183" s="119" t="str">
        <f>IF(FN_MC!Q187="","*",CONCATENATE(FN_MC!Q187," ",FN_MC!R187))</f>
        <v>1 BINÁRIO</v>
      </c>
      <c r="T183" s="119" t="str">
        <f>IF(FN_MC!V187="","*",FN_MC!V187)</f>
        <v>Herbert</v>
      </c>
      <c r="U183" s="119" t="str">
        <f>IF(FN_MC!W187="","*",FN_MC!W187)</f>
        <v>Deslocamento TCS-TIN (Necessita 40min de manobra em TCS2 para partir)</v>
      </c>
      <c r="V183" s="121">
        <f ca="1">_xlfn.XLOOKUP(G183&amp;$V$2,BS_CONTROLE[CHAVE],BS_CONTROLE[Quantidade_11],"-")</f>
        <v>0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MALHA CENTRAL</v>
      </c>
      <c r="E184" s="119" t="str">
        <f>IF(FN_MC!T188="","*",FN_MC!T188)</f>
        <v>RAMAL</v>
      </c>
      <c r="F184" s="119">
        <f>IF(FN_MC!B188="","*",FN_MC!B188)</f>
        <v>45947</v>
      </c>
      <c r="G184" s="119" t="str">
        <f>IF(FN_MC!D188="","*",FN_MC!D188)</f>
        <v>E46</v>
      </c>
      <c r="H184" s="119" t="str">
        <f>IF(FN_MC!F188="","*",FN_MC!F188)</f>
        <v>DESLOCAMENTO</v>
      </c>
      <c r="I184" s="119" t="str">
        <f>IF(FN_MC!H188="","*",FN_MC!H188)</f>
        <v>ZTP1</v>
      </c>
      <c r="J184" s="119" t="str">
        <f>IF(FN_MC!I188="","*",FN_MC!I188)</f>
        <v>ZDP</v>
      </c>
      <c r="K184" s="119" t="str">
        <f>IF(FN_MC!M188="","*",FN_MC!M188)</f>
        <v>ZTP-ZDP</v>
      </c>
      <c r="L184" s="119" t="str">
        <f>IF(FN_MC!N188="","*",FN_MC!N188)</f>
        <v>ZTPZDP</v>
      </c>
      <c r="M184" s="120">
        <f>IF(FN_MC!J188="","*",FN_MC!J188)</f>
        <v>78</v>
      </c>
      <c r="N184" s="120">
        <f>IF(FN_MC!K188="","*",FN_MC!K188)</f>
        <v>336</v>
      </c>
      <c r="O184" s="120">
        <f>IF(FN_MC!L188="","*",FN_MC!L188)</f>
        <v>302</v>
      </c>
      <c r="P184" s="120"/>
      <c r="Q184" s="137">
        <f>IF(FN_MC!O188="","*",FN_MC!O188)</f>
        <v>0.41666666666666669</v>
      </c>
      <c r="R184" s="137">
        <f>IF(FN_MC!P188="","*",FN_MC!P188)</f>
        <v>4.1666666666666664E-2</v>
      </c>
      <c r="S184" s="119" t="str">
        <f>IF(FN_MC!Q188="","*",CONCATENATE(FN_MC!Q188," ",FN_MC!R188))</f>
        <v>1 BINÁRIO</v>
      </c>
      <c r="T184" s="119" t="str">
        <f>IF(FN_MC!V188="","*",FN_MC!V188)</f>
        <v>*</v>
      </c>
      <c r="U184" s="119" t="str">
        <f>IF(FN_MC!W188="","*",FN_MC!W188)</f>
        <v xml:space="preserve">Deslocamento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FERRONORTE</v>
      </c>
      <c r="E185" s="119" t="str">
        <f>IF(FN_MC!T189="","*",FN_MC!T189)</f>
        <v>TMI-TCS</v>
      </c>
      <c r="F185" s="119">
        <f>IF(FN_MC!B189="","*",FN_MC!B189)</f>
        <v>45947</v>
      </c>
      <c r="G185" s="119" t="str">
        <f>IF(FN_MC!D189="","*",FN_MC!D189)</f>
        <v>V87</v>
      </c>
      <c r="H185" s="119" t="str">
        <f>IF(FN_MC!F189="","*",FN_MC!F189)</f>
        <v>MECANIZAÇÃO - SOCADORA</v>
      </c>
      <c r="I185" s="119" t="str">
        <f>IF(FN_MC!H189="","*",FN_MC!H189)</f>
        <v>TVI2</v>
      </c>
      <c r="J185" s="119" t="str">
        <f>IF(FN_MC!I189="","*",FN_MC!I189)</f>
        <v>TVI2</v>
      </c>
      <c r="K185" s="119" t="str">
        <f>IF(FN_MC!M189="","*",FN_MC!M189)</f>
        <v>TID-TVI</v>
      </c>
      <c r="L185" s="119" t="str">
        <f>IF(FN_MC!N189="","*",FN_MC!N189)</f>
        <v>201213/TID201</v>
      </c>
      <c r="M185" s="120">
        <f>IF(FN_MC!J189="","*",FN_MC!J189)</f>
        <v>74</v>
      </c>
      <c r="N185" s="120">
        <f>IF(FN_MC!K189="","*",FN_MC!K189)</f>
        <v>203</v>
      </c>
      <c r="O185" s="120">
        <f>IF(FN_MC!L189="","*",FN_MC!L189)</f>
        <v>190</v>
      </c>
      <c r="P185" s="120"/>
      <c r="Q185" s="137">
        <f>IF(FN_MC!O189="","*",FN_MC!O189)</f>
        <v>0.39583333333333331</v>
      </c>
      <c r="R185" s="137">
        <f>IF(FN_MC!P189="","*",FN_MC!P189)</f>
        <v>8.3333333333333329E-2</v>
      </c>
      <c r="S185" s="119" t="str">
        <f>IF(FN_MC!Q189="","*",CONCATENATE(FN_MC!Q189," ",FN_MC!R189))</f>
        <v>1020 M</v>
      </c>
      <c r="T185" s="119" t="str">
        <f>IF(FN_MC!V189="","*",FN_MC!V189)</f>
        <v>Antonioni</v>
      </c>
      <c r="U185" s="119" t="str">
        <f>IF(FN_MC!W189="","*",FN_MC!W189)</f>
        <v xml:space="preserve">Socaria mecanizada </v>
      </c>
      <c r="V185" s="121">
        <f ca="1">_xlfn.XLOOKUP(G185&amp;$V$2,BS_CONTROLE[CHAVE],BS_CONTROLE[Quantidade_11],"-")</f>
        <v>300</v>
      </c>
      <c r="W185" s="121">
        <f ca="1">_xlfn.XLOOKUP(G185&amp;$W$2,BS_CONTROLE[CHAVE],BS_CONTROLE[Quantidade_11],"-")</f>
        <v>1400</v>
      </c>
      <c r="X185" s="121">
        <f ca="1">_xlfn.XLOOKUP(G185&amp;$X$2,BS_CONTROLE[CHAVE],BS_CONTROLE[Quantidade_11],"-")</f>
        <v>500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FERRONORTE</v>
      </c>
      <c r="E186" s="119" t="str">
        <f>IF(FN_MC!T190="","*",FN_MC!T190)</f>
        <v>TMI-TCS</v>
      </c>
      <c r="F186" s="119">
        <f>IF(FN_MC!B190="","*",FN_MC!B190)</f>
        <v>45947</v>
      </c>
      <c r="G186" s="119" t="str">
        <f>IF(FN_MC!D190="","*",FN_MC!D190)</f>
        <v>ELSON (TF-526)</v>
      </c>
      <c r="H186" s="119" t="str">
        <f>IF(FN_MC!F190="","*",FN_MC!F190)</f>
        <v>PDM - SOLDA</v>
      </c>
      <c r="I186" s="119" t="str">
        <f>IF(FN_MC!H190="","*",FN_MC!H190)</f>
        <v>K97TIN</v>
      </c>
      <c r="J186" s="119" t="str">
        <f>IF(FN_MC!I190="","*",FN_MC!I190)</f>
        <v>-</v>
      </c>
      <c r="K186" s="119" t="str">
        <f>IF(FN_MC!M190="","*",FN_MC!M190)</f>
        <v>TSP-TIN</v>
      </c>
      <c r="L186" s="119" t="str">
        <f>IF(FN_MC!N190="","*",FN_MC!N190)</f>
        <v>K97TIN</v>
      </c>
      <c r="M186" s="120">
        <f>IF(FN_MC!J190="","*",FN_MC!J190)</f>
        <v>74</v>
      </c>
      <c r="N186" s="120">
        <f>IF(FN_MC!K190="","*",FN_MC!K190)</f>
        <v>104.02</v>
      </c>
      <c r="O186" s="120" t="str">
        <f>IF(FN_MC!L190="","*",FN_MC!L190)</f>
        <v>-</v>
      </c>
      <c r="P186" s="120"/>
      <c r="Q186" s="137">
        <f>IF(FN_MC!O190="","*",FN_MC!O190)</f>
        <v>0.39583333333333331</v>
      </c>
      <c r="R186" s="137">
        <f>IF(FN_MC!P190="","*",FN_MC!P190)</f>
        <v>6.25E-2</v>
      </c>
      <c r="S186" s="119" t="str">
        <f>IF(FN_MC!Q190="","*",CONCATENATE(FN_MC!Q190," ",FN_MC!R190))</f>
        <v>1 Nº DE SOLDA</v>
      </c>
      <c r="T186" s="119" t="str">
        <f>IF(FN_MC!V190="","*",FN_MC!V190)</f>
        <v>Elson</v>
      </c>
      <c r="U186" s="119" t="str">
        <f>IF(FN_MC!W190="","*",FN_MC!W190)</f>
        <v>Solda - Condicionada á temperatura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1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MALHA CENTRAL</v>
      </c>
      <c r="E187" s="119" t="str">
        <f>IF(FN_MC!T191="","*",FN_MC!T191)</f>
        <v>RAMAL</v>
      </c>
      <c r="F187" s="119">
        <f>IF(FN_MC!B191="","*",FN_MC!B191)</f>
        <v>45947</v>
      </c>
      <c r="G187" s="119" t="str">
        <f>IF(FN_MC!D191="","*",FN_MC!D191)</f>
        <v>V42</v>
      </c>
      <c r="H187" s="119" t="str">
        <f>IF(FN_MC!F191="","*",FN_MC!F191)</f>
        <v>MODERNIZAÇÃO - SOCADORA</v>
      </c>
      <c r="I187" s="119" t="str">
        <f>IF(FN_MC!H191="","*",FN_MC!H191)</f>
        <v>ZGT1</v>
      </c>
      <c r="J187" s="119" t="str">
        <f>IF(FN_MC!I191="","*",FN_MC!I191)</f>
        <v>ZGT1</v>
      </c>
      <c r="K187" s="119" t="str">
        <f>IF(FN_MC!M191="","*",FN_MC!M191)</f>
        <v>ZGT-ZXE</v>
      </c>
      <c r="L187" s="119" t="str">
        <f>IF(FN_MC!N191="","*",FN_MC!N191)</f>
        <v>ZGTZXE</v>
      </c>
      <c r="M187" s="120">
        <f>IF(FN_MC!J191="","*",FN_MC!J191)</f>
        <v>72</v>
      </c>
      <c r="N187" s="120">
        <f>IF(FN_MC!K191="","*",FN_MC!K191)</f>
        <v>301</v>
      </c>
      <c r="O187" s="120">
        <f>IF(FN_MC!L191="","*",FN_MC!L191)</f>
        <v>302</v>
      </c>
      <c r="P187" s="120"/>
      <c r="Q187" s="137">
        <f>IF(FN_MC!O191="","*",FN_MC!O191)</f>
        <v>0.27083333333333331</v>
      </c>
      <c r="R187" s="137">
        <f>IF(FN_MC!P191="","*",FN_MC!P191)</f>
        <v>8.3333333333333329E-2</v>
      </c>
      <c r="S187" s="119" t="str">
        <f>IF(FN_MC!Q191="","*",CONCATENATE(FN_MC!Q191," ",FN_MC!R191))</f>
        <v>200 M</v>
      </c>
      <c r="T187" s="119" t="str">
        <f>IF(FN_MC!V191="","*",FN_MC!V191)</f>
        <v>Augusto</v>
      </c>
      <c r="U187" s="119" t="str">
        <f>IF(FN_MC!W191="","*",FN_MC!W191)</f>
        <v>Socaria mecanizada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>
        <f ca="1">_xlfn.XLOOKUP(G187&amp;$X$2,BS_CONTROLE[CHAVE],BS_CONTROLE[Quantidade_11],"-")</f>
        <v>2030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MALHA CENTRAL</v>
      </c>
      <c r="E188" s="119" t="str">
        <f>IF(FN_MC!T192="","*",FN_MC!T192)</f>
        <v>PRV-POV</v>
      </c>
      <c r="F188" s="119">
        <f>IF(FN_MC!B192="","*",FN_MC!B192)</f>
        <v>45947</v>
      </c>
      <c r="G188" s="119" t="str">
        <f>IF(FN_MC!D192="","*",FN_MC!D192)</f>
        <v>LEÔNCIO (TF-526)</v>
      </c>
      <c r="H188" s="119" t="str">
        <f>IF(FN_MC!F192="","*",FN_MC!F192)</f>
        <v>PDM - SOLDA</v>
      </c>
      <c r="I188" s="119" t="str">
        <f>IF(FN_MC!H192="","*",FN_MC!H192)</f>
        <v>-</v>
      </c>
      <c r="J188" s="119" t="str">
        <f>IF(FN_MC!I192="","*",FN_MC!I192)</f>
        <v>-</v>
      </c>
      <c r="K188" s="119" t="str">
        <f>IF(FN_MC!M192="","*",FN_MC!M192)</f>
        <v>PIT-K97</v>
      </c>
      <c r="L188" s="119" t="str">
        <f>IF(FN_MC!N192="","*",FN_MC!N192)</f>
        <v>PITK96</v>
      </c>
      <c r="M188" s="120">
        <f>IF(FN_MC!J192="","*",FN_MC!J192)</f>
        <v>103</v>
      </c>
      <c r="N188" s="120">
        <f>IF(FN_MC!K192="","*",FN_MC!K192)</f>
        <v>2097</v>
      </c>
      <c r="O188" s="120" t="str">
        <f>IF(FN_MC!L192="","*",FN_MC!L192)</f>
        <v>-</v>
      </c>
      <c r="P188" s="120"/>
      <c r="Q188" s="137">
        <f>IF(FN_MC!O192="","*",FN_MC!O192)</f>
        <v>0.375</v>
      </c>
      <c r="R188" s="137">
        <f>IF(FN_MC!P192="","*",FN_MC!P192)</f>
        <v>6.25E-2</v>
      </c>
      <c r="S188" s="119" t="str">
        <f>IF(FN_MC!Q192="","*",CONCATENATE(FN_MC!Q192," ",FN_MC!R192))</f>
        <v>1 Nº DE SOLDA</v>
      </c>
      <c r="T188" s="119" t="str">
        <f>IF(FN_MC!V192="","*",FN_MC!V192)</f>
        <v>Lucas</v>
      </c>
      <c r="U188" s="119" t="str">
        <f>IF(FN_MC!W192="","*",FN_MC!W192)</f>
        <v>Solda - Condicionada á temperatura</v>
      </c>
      <c r="V188" s="121">
        <f ca="1">_xlfn.XLOOKUP(G188&amp;$V$2,BS_CONTROLE[CHAVE],BS_CONTROLE[Quantidade_11],"-")</f>
        <v>0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1690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1691</v>
      </c>
      <c r="C2" s="104" t="s">
        <v>1154</v>
      </c>
      <c r="D2" s="104" t="s">
        <v>1156</v>
      </c>
      <c r="E2" s="104" t="s">
        <v>1692</v>
      </c>
      <c r="F2" s="104" t="s">
        <v>1693</v>
      </c>
      <c r="G2" s="104" t="s">
        <v>1694</v>
      </c>
      <c r="H2" s="104" t="s">
        <v>1695</v>
      </c>
      <c r="I2" s="104" t="s">
        <v>1696</v>
      </c>
      <c r="J2" s="104" t="s">
        <v>1697</v>
      </c>
      <c r="K2" s="140" t="s">
        <v>1698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>
        <f>IF(FN_MC!B183="","*",FN_MC!B183)</f>
        <v>45947</v>
      </c>
      <c r="D173" s="130" t="str">
        <f>IF(FN_MC!D183="","*",FN_MC!D183)</f>
        <v>E14</v>
      </c>
      <c r="E173" s="130" t="str">
        <f>IF(FN_MC!H183="","*",FN_MC!H183)</f>
        <v>TSF1</v>
      </c>
      <c r="F173" s="148" t="str">
        <f>IF(FN_MC!M183="","*",FN_MC!M183)</f>
        <v>TAL-TIQ</v>
      </c>
      <c r="G173" s="130" t="str">
        <f>IF(FN_MC!I183="","*",FN_MC!I183)</f>
        <v>TSF1</v>
      </c>
      <c r="H173" s="130" t="str">
        <f>IF(FN_MC!AB183="","*",FN_MC!AB183)</f>
        <v>FIXO</v>
      </c>
      <c r="I173" s="130" t="str">
        <f>IF(FN_MC!AC183="","*",FN_MC!AC183)</f>
        <v>ACIONAMENTO</v>
      </c>
      <c r="J173" s="131">
        <f>IF(FN_MC!AA183="","*",FN_MC!AA183)</f>
        <v>1</v>
      </c>
      <c r="K173" s="143">
        <f>IF(FN_MC!AD183="","*",FN_MC!AD183)</f>
        <v>0.83333333333333337</v>
      </c>
    </row>
    <row r="174" spans="2:11" s="132" customFormat="1" hidden="1">
      <c r="B174" s="129" t="str">
        <f>IF(FN_MC!Y184="","*",FN_MC!Y184)</f>
        <v>*</v>
      </c>
      <c r="C174" s="130">
        <f>IF(FN_MC!B184="","*",FN_MC!B184)</f>
        <v>45947</v>
      </c>
      <c r="D174" s="130" t="str">
        <f>IF(FN_MC!D184="","*",FN_MC!D184)</f>
        <v>V80</v>
      </c>
      <c r="E174" s="130" t="str">
        <f>IF(FN_MC!H184="","*",FN_MC!H184)</f>
        <v>TIQ</v>
      </c>
      <c r="F174" s="148" t="str">
        <f>IF(FN_MC!M184="","*",FN_MC!M184)</f>
        <v>TIQ-TGR</v>
      </c>
      <c r="G174" s="130" t="str">
        <f>IF(FN_MC!I184="","*",FN_MC!I184)</f>
        <v>TGR</v>
      </c>
      <c r="H174" s="130" t="str">
        <f>IF(FN_MC!AB184="","*",FN_MC!AB184)</f>
        <v>FIXO</v>
      </c>
      <c r="I174" s="130" t="str">
        <f>IF(FN_MC!AC184="","*",FN_MC!AC184)</f>
        <v>-</v>
      </c>
      <c r="J174" s="131">
        <f>IF(FN_MC!AA184="","*",FN_MC!AA184)</f>
        <v>1</v>
      </c>
      <c r="K174" s="143" t="str">
        <f>IF(FN_MC!AD184="","*",FN_MC!AD184)</f>
        <v>-</v>
      </c>
    </row>
    <row r="175" spans="2:11" s="132" customFormat="1" hidden="1">
      <c r="B175" s="129" t="str">
        <f>IF(FN_MC!Y185="","*",FN_MC!Y185)</f>
        <v>*</v>
      </c>
      <c r="C175" s="130">
        <f>IF(FN_MC!B185="","*",FN_MC!B185)</f>
        <v>45947</v>
      </c>
      <c r="D175" s="130" t="str">
        <f>IF(FN_MC!D185="","*",FN_MC!D185)</f>
        <v>W70</v>
      </c>
      <c r="E175" s="130" t="str">
        <f>IF(FN_MC!H185="","*",FN_MC!H185)</f>
        <v>TCS</v>
      </c>
      <c r="F175" s="148" t="str">
        <f>IF(FN_MC!M185="","*",FN_MC!M185)</f>
        <v>TLA-TSE</v>
      </c>
      <c r="G175" s="130" t="str">
        <f>IF(FN_MC!I185="","*",FN_MC!I185)</f>
        <v>TCS</v>
      </c>
      <c r="H175" s="130" t="str">
        <f>IF(FN_MC!AB185="","*",FN_MC!AB185)</f>
        <v>FIXO</v>
      </c>
      <c r="I175" s="130" t="str">
        <f>IF(FN_MC!AC185="","*",FN_MC!AC185)</f>
        <v>ACIONAMENTO</v>
      </c>
      <c r="J175" s="131" t="str">
        <f>IF(FN_MC!AA185="","*",FN_MC!AA185)</f>
        <v>2 (Ênio + João Lucas)</v>
      </c>
      <c r="K175" s="143">
        <f>IF(FN_MC!AD185="","*",FN_MC!AD185)</f>
        <v>0.33333333333333331</v>
      </c>
    </row>
    <row r="176" spans="2:11" s="132" customFormat="1" hidden="1">
      <c r="B176" s="129" t="str">
        <f>IF(FN_MC!Y186="","*",FN_MC!Y186)</f>
        <v>*</v>
      </c>
      <c r="C176" s="130">
        <f>IF(FN_MC!B186="","*",FN_MC!B186)</f>
        <v>45947</v>
      </c>
      <c r="D176" s="130" t="str">
        <f>IF(FN_MC!D186="","*",FN_MC!D186)</f>
        <v>BRUNO (TF-525)</v>
      </c>
      <c r="E176" s="130" t="str">
        <f>IF(FN_MC!H186="","*",FN_MC!H186)</f>
        <v>-</v>
      </c>
      <c r="F176" s="148" t="str">
        <f>IF(FN_MC!M186="","*",FN_MC!M186)</f>
        <v>TRC-THE</v>
      </c>
      <c r="G176" s="130" t="str">
        <f>IF(FN_MC!I186="","*",FN_MC!I186)</f>
        <v>-</v>
      </c>
      <c r="H176" s="130" t="str">
        <f>IF(FN_MC!AB186="","*",FN_MC!AB186)</f>
        <v>-</v>
      </c>
      <c r="I176" s="130" t="str">
        <f>IF(FN_MC!AC186="","*",FN_MC!AC186)</f>
        <v>-</v>
      </c>
      <c r="J176" s="131" t="str">
        <f>IF(FN_MC!AA186="","*",FN_MC!AA186)</f>
        <v>-</v>
      </c>
      <c r="K176" s="143" t="str">
        <f>IF(FN_MC!AD186="","*",FN_MC!AD186)</f>
        <v>-</v>
      </c>
    </row>
    <row r="177" spans="2:11" s="132" customFormat="1" hidden="1">
      <c r="B177" s="129" t="str">
        <f>IF(FN_MC!Y187="","*",FN_MC!Y187)</f>
        <v>*</v>
      </c>
      <c r="C177" s="130">
        <f>IF(FN_MC!B187="","*",FN_MC!B187)</f>
        <v>45947</v>
      </c>
      <c r="D177" s="130" t="str">
        <f>IF(FN_MC!D187="","*",FN_MC!D187)</f>
        <v>W50</v>
      </c>
      <c r="E177" s="130" t="str">
        <f>IF(FN_MC!H187="","*",FN_MC!H187)</f>
        <v>TCS</v>
      </c>
      <c r="F177" s="148" t="str">
        <f>IF(FN_MC!M187="","*",FN_MC!M187)</f>
        <v>TCS-TIN</v>
      </c>
      <c r="G177" s="130" t="str">
        <f>IF(FN_MC!I187="","*",FN_MC!I187)</f>
        <v>TIN</v>
      </c>
      <c r="H177" s="130" t="str">
        <f>IF(FN_MC!AB187="","*",FN_MC!AB187)</f>
        <v>FIXO</v>
      </c>
      <c r="I177" s="130" t="str">
        <f>IF(FN_MC!AC187="","*",FN_MC!AC187)</f>
        <v>-</v>
      </c>
      <c r="J177" s="131" t="str">
        <f>IF(FN_MC!AA187="","*",FN_MC!AA187)</f>
        <v>2 (Eder + Alex Padula)</v>
      </c>
      <c r="K177" s="143">
        <f>IF(FN_MC!AD187="","*",FN_MC!AD187)</f>
        <v>0.35416666666666669</v>
      </c>
    </row>
    <row r="178" spans="2:11" s="132" customFormat="1" hidden="1">
      <c r="B178" s="129" t="str">
        <f>IF(FN_MC!Y188="","*",FN_MC!Y188)</f>
        <v>*</v>
      </c>
      <c r="C178" s="130">
        <f>IF(FN_MC!B188="","*",FN_MC!B188)</f>
        <v>45947</v>
      </c>
      <c r="D178" s="130" t="str">
        <f>IF(FN_MC!D188="","*",FN_MC!D188)</f>
        <v>E46</v>
      </c>
      <c r="E178" s="130" t="str">
        <f>IF(FN_MC!H188="","*",FN_MC!H188)</f>
        <v>ZTP1</v>
      </c>
      <c r="F178" s="148" t="str">
        <f>IF(FN_MC!M188="","*",FN_MC!M188)</f>
        <v>ZTP-ZDP</v>
      </c>
      <c r="G178" s="130" t="str">
        <f>IF(FN_MC!I188="","*",FN_MC!I188)</f>
        <v>ZDP</v>
      </c>
      <c r="H178" s="130" t="str">
        <f>IF(FN_MC!AB188="","*",FN_MC!AB188)</f>
        <v>FIXO</v>
      </c>
      <c r="I178" s="130" t="str">
        <f>IF(FN_MC!AC188="","*",FN_MC!AC188)</f>
        <v>ACIONAMENTO</v>
      </c>
      <c r="J178" s="131">
        <f>IF(FN_MC!AA188="","*",FN_MC!AA188)</f>
        <v>1</v>
      </c>
      <c r="K178" s="143">
        <f>IF(FN_MC!AD188="","*",FN_MC!AD188)</f>
        <v>0.375</v>
      </c>
    </row>
    <row r="179" spans="2:11" s="132" customFormat="1" hidden="1">
      <c r="B179" s="129" t="str">
        <f>IF(FN_MC!Y189="","*",FN_MC!Y189)</f>
        <v>*</v>
      </c>
      <c r="C179" s="130">
        <f>IF(FN_MC!B189="","*",FN_MC!B189)</f>
        <v>45947</v>
      </c>
      <c r="D179" s="130" t="str">
        <f>IF(FN_MC!D189="","*",FN_MC!D189)</f>
        <v>V87</v>
      </c>
      <c r="E179" s="130" t="str">
        <f>IF(FN_MC!H189="","*",FN_MC!H189)</f>
        <v>TVI2</v>
      </c>
      <c r="F179" s="148" t="str">
        <f>IF(FN_MC!M189="","*",FN_MC!M189)</f>
        <v>TID-TVI</v>
      </c>
      <c r="G179" s="130" t="str">
        <f>IF(FN_MC!I189="","*",FN_MC!I189)</f>
        <v>TVI2</v>
      </c>
      <c r="H179" s="130" t="str">
        <f>IF(FN_MC!AB189="","*",FN_MC!AB189)</f>
        <v>FIXO</v>
      </c>
      <c r="I179" s="130" t="str">
        <f>IF(FN_MC!AC189="","*",FN_MC!AC189)</f>
        <v>-</v>
      </c>
      <c r="J179" s="131">
        <f>IF(FN_MC!AA189="","*",FN_MC!AA189)</f>
        <v>1</v>
      </c>
      <c r="K179" s="143">
        <f>IF(FN_MC!AD189="","*",FN_MC!AD189)</f>
        <v>0.29166666666666669</v>
      </c>
    </row>
    <row r="180" spans="2:11" s="132" customFormat="1" hidden="1">
      <c r="B180" s="129" t="str">
        <f>IF(FN_MC!Y190="","*",FN_MC!Y190)</f>
        <v>*</v>
      </c>
      <c r="C180" s="130">
        <f>IF(FN_MC!B190="","*",FN_MC!B190)</f>
        <v>45947</v>
      </c>
      <c r="D180" s="130" t="str">
        <f>IF(FN_MC!D190="","*",FN_MC!D190)</f>
        <v>ELSON (TF-526)</v>
      </c>
      <c r="E180" s="130" t="str">
        <f>IF(FN_MC!H190="","*",FN_MC!H190)</f>
        <v>K97TIN</v>
      </c>
      <c r="F180" s="148" t="str">
        <f>IF(FN_MC!M190="","*",FN_MC!M190)</f>
        <v>TSP-TIN</v>
      </c>
      <c r="G180" s="130" t="str">
        <f>IF(FN_MC!I190="","*",FN_MC!I190)</f>
        <v>-</v>
      </c>
      <c r="H180" s="130" t="str">
        <f>IF(FN_MC!AB190="","*",FN_MC!AB190)</f>
        <v>-</v>
      </c>
      <c r="I180" s="130" t="str">
        <f>IF(FN_MC!AC190="","*",FN_MC!AC190)</f>
        <v>-</v>
      </c>
      <c r="J180" s="131" t="str">
        <f>IF(FN_MC!AA190="","*",FN_MC!AA190)</f>
        <v>*</v>
      </c>
      <c r="K180" s="143" t="str">
        <f>IF(FN_MC!AD190="","*",FN_MC!AD190)</f>
        <v>-</v>
      </c>
    </row>
    <row r="181" spans="2:11" s="132" customFormat="1" hidden="1">
      <c r="B181" s="129" t="str">
        <f>IF(FN_MC!Y191="","*",FN_MC!Y191)</f>
        <v>*</v>
      </c>
      <c r="C181" s="130">
        <f>IF(FN_MC!B191="","*",FN_MC!B191)</f>
        <v>45947</v>
      </c>
      <c r="D181" s="130" t="str">
        <f>IF(FN_MC!D191="","*",FN_MC!D191)</f>
        <v>V42</v>
      </c>
      <c r="E181" s="130" t="str">
        <f>IF(FN_MC!H191="","*",FN_MC!H191)</f>
        <v>ZGT1</v>
      </c>
      <c r="F181" s="148" t="str">
        <f>IF(FN_MC!M191="","*",FN_MC!M191)</f>
        <v>ZGT-ZXE</v>
      </c>
      <c r="G181" s="130" t="str">
        <f>IF(FN_MC!I191="","*",FN_MC!I191)</f>
        <v>ZGT1</v>
      </c>
      <c r="H181" s="130" t="str">
        <f>IF(FN_MC!AB191="","*",FN_MC!AB191)</f>
        <v>FIXO</v>
      </c>
      <c r="I181" s="130" t="str">
        <f>IF(FN_MC!AC191="","*",FN_MC!AC191)</f>
        <v>ACIONAMENTO</v>
      </c>
      <c r="J181" s="131">
        <f>IF(FN_MC!AA191="","*",FN_MC!AA191)</f>
        <v>1</v>
      </c>
      <c r="K181" s="143">
        <f>IF(FN_MC!AD191="","*",FN_MC!AD191)</f>
        <v>0.22916666666666666</v>
      </c>
    </row>
    <row r="182" spans="2:11" s="132" customFormat="1" hidden="1">
      <c r="B182" s="129" t="str">
        <f>IF(FN_MC!Y192="","*",FN_MC!Y192)</f>
        <v>*</v>
      </c>
      <c r="C182" s="130">
        <f>IF(FN_MC!B192="","*",FN_MC!B192)</f>
        <v>45947</v>
      </c>
      <c r="D182" s="130" t="str">
        <f>IF(FN_MC!D192="","*",FN_MC!D192)</f>
        <v>LEÔNCIO (TF-526)</v>
      </c>
      <c r="E182" s="130" t="str">
        <f>IF(FN_MC!H192="","*",FN_MC!H192)</f>
        <v>-</v>
      </c>
      <c r="F182" s="148" t="str">
        <f>IF(FN_MC!M192="","*",FN_MC!M192)</f>
        <v>PIT-K97</v>
      </c>
      <c r="G182" s="130" t="str">
        <f>IF(FN_MC!I192="","*",FN_MC!I192)</f>
        <v>-</v>
      </c>
      <c r="H182" s="130" t="str">
        <f>IF(FN_MC!AB192="","*",FN_MC!AB192)</f>
        <v>-</v>
      </c>
      <c r="I182" s="130" t="str">
        <f>IF(FN_MC!AC192="","*",FN_MC!AC192)</f>
        <v>-</v>
      </c>
      <c r="J182" s="131" t="str">
        <f>IF(FN_MC!AA192="","*",FN_MC!AA192)</f>
        <v>-</v>
      </c>
      <c r="K182" s="143" t="str">
        <f>IF(FN_MC!AD192="","*",FN_MC!AD192)</f>
        <v>-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2025-10-16T16:27:31Z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