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23" documentId="8_{B6337239-1A00-434D-AAD0-422EA1FEB5AE}" xr6:coauthVersionLast="47" xr6:coauthVersionMax="47" xr10:uidLastSave="{022AC7F6-042C-4226-96AB-03803C54498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 a="1"/>
  <c r="M75" i="1"/>
  <c r="N75" i="1" a="1"/>
  <c r="N75" i="1"/>
  <c r="H71" i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1" i="1" l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<sst xmlns="http://schemas.openxmlformats.org/spreadsheetml/2006/main" count="4757" uniqueCount="1329">
  <si>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</si>
  <si>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</si>
  <si>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</si>
  <si>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</si>
  <si>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</si>
  <si>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</si>
  <si>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</si>
  <si>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</si>
  <si>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</si>
  <si>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</si>
  <si>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</si>
  <si>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</si>
  <si>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</si>
  <si>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</si>
  <si>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</si>
  <si>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</si>
  <si>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</si>
  <si>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</si>
  <si>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</si>
  <si>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</si>
  <si>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</si>
  <si>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</si>
  <si>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</si>
  <si>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</si>
  <si>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</si>
  <si>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</si>
  <si>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</si>
  <si>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</si>
  <si>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</si>
  <si>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</si>
  <si>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</si>
  <si>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</si>
  <si>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</si>
  <si>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</si>
  <si>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</si>
  <si>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</si>
  <si>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</si>
  <si>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</si>
  <si>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</si>
  <si>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</si>
  <si>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</si>
  <si>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</si>
  <si>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</si>
  <si>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</si>
  <si>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</si>
  <si>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</si>
  <si>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</si>
  <si>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</si>
  <si>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</si>
  <si>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</si>
  <si>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</si>
  <si>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</si>
  <si>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</si>
  <si>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</si>
  <si>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</si>
  <si>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</si>
  <si>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</si>
  <si>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</si>
  <si>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</si>
  <si>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</si>
  <si>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</si>
  <si>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</si>
  <si>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</si>
  <si>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</si>
  <si>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</si>
  <si>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</si>
  <si>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</si>
  <si>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</si>
  <si>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</si>
  <si>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</si>
  <si>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</si>
  <si>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</si>
  <si>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</si>
  <si>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</si>
  <si>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</si>
  <si>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</si>
  <si>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</si>
  <si>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</si>
  <si>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</si>
  <si>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</si>
  <si>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</si>
  <si>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</si>
  <si>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</si>
  <si>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</si>
  <si>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</si>
  <si>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</si>
  <si>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</si>
  <si>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</si>
  <si>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</si>
  <si>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</si>
  <si>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</si>
  <si>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</si>
  <si>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</si>
  <si>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</si>
  <si>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</si>
  <si>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</si>
  <si>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</si>
  <si>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</si>
  <si>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</si>
  <si>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</si>
  <si>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</si>
  <si>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</si>
  <si>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</si>
  <si>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</si>
  <si>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</si>
  <si>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</si>
  <si>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</si>
  <si>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</si>
  <si>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</si>
  <si>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</si>
  <si>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</si>
  <si>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</si>
  <si>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</si>
  <si>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</si>
  <si>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</si>
  <si>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</si>
  <si>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</si>
  <si>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</si>
  <si>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</si>
  <si>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</si>
  <si>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</si>
  <si>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</si>
  <si>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</si>
  <si>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</si>
  <si>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</si>
  <si>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</si>
  <si>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</si>
  <si>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</si>
  <si>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</si>
  <si>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</si>
  <si>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</si>
  <si>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</si>
  <si>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</si>
  <si>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</si>
  <si>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</si>
  <si>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</si>
  <si>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</si>
  <si>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</si>
  <si>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</si>
  <si>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</si>
  <si>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</si>
  <si>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</si>
  <si>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</si>
  <si>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</si>
  <si>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</si>
  <si>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</si>
  <si>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</si>
  <si>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</si>
  <si>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</si>
  <si>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</si>
  <si>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</si>
  <si>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</si>
  <si>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</si>
  <si>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</si>
  <si>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</si>
  <si>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</si>
  <si>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</si>
  <si>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</si>
  <si>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</si>
  <si>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</si>
  <si>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</si>
  <si>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</si>
  <si>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</si>
  <si>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</si>
  <si>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</si>
  <si>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</si>
  <si>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</si>
  <si>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</si>
  <si>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</si>
  <si>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</si>
  <si>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</si>
  <si>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</si>
  <si>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</si>
  <si>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</si>
  <si>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</si>
  <si>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</si>
  <si>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</si>
  <si>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</si>
  <si>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</si>
  <si>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</si>
  <si>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</si>
  <si>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</si>
  <si>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</si>
  <si>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</si>
  <si>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</si>
  <si>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</si>
  <si>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</si>
  <si>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</si>
  <si>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</si>
  <si>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</si>
  <si>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</si>
  <si>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</si>
  <si>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</si>
  <si>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</si>
  <si>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</si>
  <si>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</si>
  <si>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</si>
  <si>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</si>
  <si>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</si>
  <si>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</si>
  <si>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</si>
  <si>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</si>
  <si>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</si>
  <si>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</si>
  <si>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</si>
  <si>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</si>
  <si>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</si>
  <si>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</si>
  <si>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</si>
  <si>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</si>
  <si>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</si>
  <si>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</si>
  <si>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</si>
  <si>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</si>
  <si>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</si>
  <si>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</si>
  <si>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</si>
  <si>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</si>
  <si>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</si>
  <si>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</si>
  <si>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</si>
  <si>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</si>
  <si>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</si>
  <si>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</si>
  <si>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</si>
  <si>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</si>
  <si>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</si>
  <si>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</si>
  <si>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</si>
  <si>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</si>
  <si>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</si>
  <si>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</si>
  <si>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</si>
  <si>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</si>
  <si>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</si>
  <si>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</si>
  <si>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</si>
  <si>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</si>
  <si>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</si>
  <si>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</si>
  <si>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</si>
  <si>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</si>
  <si>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</si>
  <si>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</si>
  <si>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</si>
  <si>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</si>
  <si>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</si>
  <si>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</si>
  <si>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</si>
  <si>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</si>
  <si>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</si>
  <si>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</si>
  <si>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</si>
  <si>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</si>
  <si>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</si>
  <si>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</si>
  <si>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</si>
  <si>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</si>
  <si>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</si>
  <si>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</si>
  <si>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</si>
  <si>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</si>
  <si>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</si>
  <si>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</si>
  <si>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</si>
  <si>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</si>
  <si>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</si>
  <si>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</si>
  <si>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</si>
  <si>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</si>
  <si>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</si>
  <si>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</si>
  <si>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</si>
  <si>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</si>
  <si>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</si>
  <si>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</si>
  <si>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</si>
  <si>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</si>
  <si>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</si>
  <si>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</si>
  <si>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</si>
  <si>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</si>
  <si>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</si>
  <si>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</si>
  <si>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</si>
  <si>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</si>
  <si>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</si>
  <si>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</si>
  <si>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</si>
  <si>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</si>
  <si>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</si>
  <si>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</si>
  <si>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</si>
  <si>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</si>
  <si>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</si>
  <si>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</si>
  <si>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</si>
  <si>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</si>
  <si>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</si>
  <si>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</si>
  <si>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</si>
  <si>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</si>
  <si>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</si>
  <si>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</si>
  <si>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</si>
  <si>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</si>
  <si>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</si>
  <si>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</si>
  <si>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</si>
  <si>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</si>
  <si>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</si>
  <si>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</si>
  <si>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</si>
  <si>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</si>
  <si>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</si>
  <si>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</si>
  <si>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</si>
  <si>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</si>
  <si>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</si>
  <si>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</si>
  <si>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</si>
  <si>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</si>
  <si>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</si>
  <si>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</si>
  <si>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</si>
  <si>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</si>
  <si>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</si>
  <si>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</si>
  <si>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</si>
  <si>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</si>
  <si>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</si>
  <si>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</si>
  <si>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</si>
  <si>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</si>
  <si>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</si>
  <si>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</si>
  <si>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</si>
  <si>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</si>
  <si>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</si>
  <si>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</si>
  <si>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</si>
  <si>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</si>
  <si>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</si>
  <si>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</si>
  <si>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</si>
  <si>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</si>
  <si>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</si>
  <si>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</si>
  <si>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</si>
  <si>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</si>
  <si>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</si>
  <si>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</si>
  <si>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</si>
  <si>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</si>
  <si>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</si>
  <si>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</si>
  <si>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</si>
  <si>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</si>
  <si>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</si>
  <si>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</si>
  <si>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</si>
  <si>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</si>
  <si>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</si>
  <si>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</si>
  <si>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</si>
  <si>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</si>
  <si>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</si>
  <si>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</si>
  <si>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</si>
  <si>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</si>
  <si>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</si>
  <si>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</si>
  <si>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</si>
  <si>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</si>
  <si>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</si>
  <si>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</si>
  <si>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</si>
  <si>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</si>
  <si>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</si>
  <si>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</si>
  <si>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</si>
  <si>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</si>
  <si>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</si>
  <si>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</si>
  <si>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</si>
  <si>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</si>
  <si>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</si>
  <si>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</si>
  <si>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</si>
  <si>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</si>
  <si>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</si>
  <si>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</si>
  <si>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</si>
  <si>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</si>
  <si>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</si>
  <si>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</si>
  <si>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</si>
  <si>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</si>
  <si>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</si>
  <si>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</si>
  <si>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</si>
  <si>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</si>
  <si>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</si>
  <si>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</si>
  <si>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</si>
  <si>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</si>
  <si>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</si>
  <si>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</si>
  <si>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</si>
  <si>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</si>
  <si>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</si>
  <si>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</si>
  <si>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</si>
  <si>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</si>
  <si>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</si>
  <si>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</si>
  <si>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</si>
  <si>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</si>
  <si>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</si>
  <si>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</si>
  <si>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</si>
  <si>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</si>
  <si>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</si>
  <si>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</si>
  <si>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</si>
  <si>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</si>
  <si>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</si>
  <si>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</si>
  <si>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</si>
  <si>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</si>
  <si>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</si>
  <si>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</si>
  <si>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</si>
  <si>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</si>
  <si>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</si>
  <si>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</si>
  <si>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</si>
  <si>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</si>
  <si>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</si>
  <si>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</si>
  <si>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</si>
  <si>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</si>
  <si>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</si>
  <si>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</si>
  <si>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</si>
  <si>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</si>
  <si>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</si>
  <si>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</si>
  <si>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</si>
  <si>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</si>
  <si>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</si>
  <si>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</si>
  <si>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</si>
  <si>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</si>
  <si>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</si>
  <si>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</si>
  <si>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</si>
  <si>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</si>
  <si>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</si>
  <si>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</si>
  <si>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</si>
  <si>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</si>
  <si>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</si>
  <si>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</si>
  <si>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</si>
  <si>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</si>
  <si>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</si>
  <si>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</si>
  <si>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</si>
  <si>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</si>
  <si>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</si>
  <si>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</si>
  <si>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</si>
  <si>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</si>
  <si>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</si>
  <si>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</si>
  <si>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</si>
  <si>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</si>
  <si>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</si>
  <si>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</si>
  <si>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</si>
  <si>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</si>
  <si>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</si>
  <si>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</si>
  <si>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</si>
  <si>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</si>
  <si>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</si>
  <si>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</si>
  <si>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</si>
  <si>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</si>
  <si>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</si>
  <si>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</si>
  <si>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</si>
  <si>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</si>
  <si>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</si>
  <si>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</si>
  <si>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</si>
  <si>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</si>
  <si>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</si>
  <si>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</si>
  <si>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</si>
  <si>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</si>
  <si>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</si>
  <si>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</si>
  <si>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</si>
  <si>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</si>
  <si>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</si>
  <si>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</si>
  <si>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</si>
  <si>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</si>
  <si>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</si>
  <si>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</si>
  <si>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</si>
  <si>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</si>
  <si>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</si>
  <si>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</si>
  <si>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</si>
  <si>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</si>
  <si>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</si>
  <si>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</si>
  <si>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</si>
  <si>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</si>
  <si>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</si>
  <si>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</si>
  <si>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</si>
  <si>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</si>
  <si>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</si>
  <si>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</si>
  <si>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</si>
  <si>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</si>
  <si>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</si>
  <si>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</si>
  <si>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</si>
  <si>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</si>
  <si>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</si>
  <si>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</si>
  <si>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</si>
  <si>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</si>
  <si>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</si>
  <si>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</si>
  <si>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</si>
  <si>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</si>
  <si>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</si>
  <si>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</si>
  <si>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</si>
  <si>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</si>
  <si>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</si>
  <si>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</si>
  <si>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</si>
  <si>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</si>
  <si>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</si>
  <si>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</si>
  <si>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</si>
  <si>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</si>
  <si>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</si>
  <si>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</si>
  <si>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</si>
  <si>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</si>
  <si>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</si>
  <si>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</si>
  <si>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</si>
  <si>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</si>
  <si>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</si>
  <si>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</si>
  <si>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</si>
  <si>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</si>
  <si>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</si>
  <si>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</si>
  <si>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</si>
  <si>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</si>
  <si>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</si>
  <si>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</si>
  <si>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</si>
  <si>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</si>
  <si>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</si>
  <si>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</si>
  <si>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</si>
  <si>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</si>
  <si>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</si>
  <si>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</si>
  <si>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</si>
  <si>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</si>
  <si>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</si>
  <si>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</si>
  <si>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</si>
  <si>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</si>
  <si>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</si>
  <si>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</si>
  <si>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</si>
  <si>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</si>
  <si>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</si>
  <si>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</si>
  <si>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</si>
  <si>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</si>
  <si>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</si>
  <si>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</si>
  <si>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</si>
  <si>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</si>
  <si>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</si>
  <si>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</si>
  <si>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</si>
  <si>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</si>
  <si>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</si>
  <si>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</si>
  <si>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</si>
  <si>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</si>
  <si>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</si>
  <si>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</si>
  <si>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</si>
  <si>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</si>
  <si>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</si>
  <si>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</si>
  <si>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</si>
  <si>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</si>
  <si>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</si>
  <si>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</si>
  <si>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</si>
  <si>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</si>
  <si>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</si>
  <si>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</si>
  <si>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</si>
  <si>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</si>
  <si>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</si>
  <si>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</si>
  <si>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</si>
  <si>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</si>
  <si>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</si>
  <si>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</si>
  <si>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</si>
  <si>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</si>
  <si>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</si>
  <si>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</si>
  <si>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</si>
  <si>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</si>
  <si>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</si>
  <si>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</si>
  <si>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</si>
  <si>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</si>
  <si>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</si>
  <si>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</si>
  <si>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</si>
  <si>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</si>
  <si>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</si>
  <si>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</si>
  <si>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</si>
  <si>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</si>
  <si>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</si>
  <si>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</si>
  <si>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</si>
  <si>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</si>
  <si>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</si>
  <si>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</si>
  <si>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</si>
  <si>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</si>
  <si>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</si>
  <si>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</si>
  <si>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</si>
  <si>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</si>
  <si>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</si>
  <si>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</si>
  <si>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</si>
  <si>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</si>
  <si>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</si>
  <si>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</si>
  <si>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</si>
  <si>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</si>
  <si>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</si>
  <si>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</si>
  <si>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</si>
  <si>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</si>
  <si>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</si>
  <si>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</si>
  <si>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</si>
  <si>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</si>
  <si>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</si>
  <si>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</si>
  <si>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</si>
  <si>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</si>
  <si>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</si>
  <si>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</si>
  <si>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</si>
  <si>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</si>
  <si>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</si>
  <si>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</si>
  <si>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</si>
  <si>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</si>
  <si>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</si>
  <si>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</si>
  <si>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</si>
  <si>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</si>
  <si>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</si>
  <si>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</si>
  <si>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</si>
  <si>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</si>
  <si>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</si>
  <si>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</si>
  <si>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</si>
  <si>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</si>
  <si>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</si>
  <si>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</si>
  <si>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</si>
  <si>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</si>
  <si>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</si>
  <si>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</si>
  <si>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</si>
  <si>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</si>
  <si>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</si>
  <si>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</si>
  <si>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</si>
  <si>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</si>
  <si>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</si>
  <si>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</si>
  <si>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</si>
  <si>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</si>
  <si>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</si>
  <si>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</si>
  <si>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</si>
  <si>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</si>
  <si>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</si>
  <si>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</si>
  <si>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</si>
  <si>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</si>
  <si>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</si>
  <si>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</si>
  <si>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</si>
  <si>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</si>
  <si>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</si>
  <si>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</si>
  <si>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</si>
  <si>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</si>
  <si>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</si>
  <si>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</si>
  <si>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</si>
  <si>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</si>
  <si>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</si>
  <si>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</si>
  <si>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</si>
  <si>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</si>
  <si>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</si>
  <si>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</si>
  <si>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</si>
  <si>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</si>
  <si>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</si>
  <si>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</si>
  <si>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</si>
  <si>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</si>
  <si>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</si>
  <si>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</si>
  <si>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</si>
  <si>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</si>
  <si>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</si>
  <si>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</si>
  <si>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</si>
  <si>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</si>
  <si>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</si>
  <si>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</si>
  <si>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</si>
  <si>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</si>
  <si>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</si>
  <si>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</si>
  <si>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</si>
  <si>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</si>
  <si>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</si>
  <si>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</si>
  <si>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</si>
  <si>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</si>
  <si>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</si>
  <si>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</si>
  <si>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</si>
  <si>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</si>
  <si>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</si>
  <si>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</si>
  <si>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</si>
  <si>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</si>
  <si>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</si>
  <si>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</si>
  <si>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</si>
  <si>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</si>
  <si>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</si>
  <si>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</si>
  <si>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</si>
  <si>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</si>
  <si>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</si>
  <si>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</si>
  <si>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</si>
  <si>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</si>
  <si>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</si>
  <si>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</si>
  <si>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</si>
  <si>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</si>
  <si>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</si>
  <si>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</si>
  <si>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</si>
  <si>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</si>
  <si>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</si>
  <si>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</si>
  <si>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</si>
  <si>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</si>
  <si>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</si>
  <si>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</si>
  <si>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</si>
  <si>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</si>
  <si>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</si>
  <si>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</si>
  <si>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</si>
  <si>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</si>
  <si>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</si>
  <si>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</si>
  <si>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</si>
  <si>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</si>
  <si>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</si>
  <si>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</si>
  <si>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</si>
  <si>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</si>
  <si>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</si>
  <si>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</si>
  <si>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</si>
  <si>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</si>
  <si>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</si>
  <si>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</si>
  <si>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</si>
  <si>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</si>
  <si>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</si>
  <si>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</si>
  <si>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</si>
  <si>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</si>
  <si>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</si>
  <si>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</si>
  <si>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</si>
  <si>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</si>
  <si>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</si>
  <si>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</si>
  <si>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</si>
  <si>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</si>
  <si>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</si>
  <si>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</si>
  <si>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</si>
  <si>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</si>
  <si>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</si>
  <si>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</si>
  <si>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</si>
  <si>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</si>
  <si>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</si>
  <si>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</si>
  <si>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</si>
  <si>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</si>
  <si>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</si>
  <si>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</si>
  <si>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</si>
  <si>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</si>
  <si>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</si>
  <si>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</si>
  <si>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</si>
  <si>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</si>
  <si>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</si>
  <si>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</si>
  <si>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</si>
  <si>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</si>
  <si>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</si>
  <si>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</si>
  <si>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</si>
  <si>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</si>
  <si>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</si>
  <si>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</si>
  <si>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</si>
  <si>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</si>
  <si>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</si>
  <si>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</si>
  <si>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</si>
  <si>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</si>
  <si>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</si>
  <si>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</si>
  <si>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</si>
  <si>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</si>
  <si>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</si>
  <si>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</si>
  <si>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</si>
  <si>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</si>
  <si>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</si>
  <si>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</si>
  <si>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</si>
  <si>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</si>
  <si>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</si>
  <si>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</si>
  <si>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</si>
  <si>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</si>
  <si>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</si>
  <si>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</si>
  <si>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</si>
  <si>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</si>
  <si>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</si>
  <si>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</si>
  <si>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</si>
  <si>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</si>
  <si>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</si>
  <si>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</si>
  <si>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</si>
  <si>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</si>
  <si>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</si>
  <si>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</si>
  <si>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</si>
  <si>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</si>
  <si>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</si>
  <si>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</si>
  <si>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</si>
  <si>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</si>
  <si>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</si>
  <si>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</si>
  <si>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</si>
  <si>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</si>
  <si>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</si>
  <si>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</si>
  <si>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</si>
  <si>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</si>
  <si>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</si>
  <si>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</si>
  <si>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</si>
  <si>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</si>
  <si>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</si>
  <si>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</si>
  <si>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</si>
  <si>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</si>
  <si>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</si>
  <si>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</si>
  <si>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</si>
  <si>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</si>
  <si>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</si>
  <si>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</si>
  <si>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</si>
  <si>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</si>
  <si>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</si>
  <si>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</si>
  <si>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</si>
  <si>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</si>
  <si>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</si>
  <si>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</si>
  <si>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</si>
  <si>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</si>
  <si>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</si>
  <si>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</si>
  <si>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</si>
  <si>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</si>
  <si>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</si>
  <si>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</si>
  <si>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</si>
  <si>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</si>
  <si>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</si>
  <si>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</si>
  <si>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</si>
  <si>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</si>
  <si>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</si>
  <si>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</si>
  <si>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</si>
  <si>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</si>
  <si>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</si>
  <si>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</si>
  <si>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</si>
  <si>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</si>
  <si>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</si>
  <si>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</si>
  <si>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</si>
  <si>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</si>
  <si>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</si>
  <si>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</si>
  <si>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</si>
  <si>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</si>
  <si>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</si>
  <si>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</si>
  <si>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</si>
  <si>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</si>
  <si>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</si>
  <si>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</si>
  <si>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</si>
  <si>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</si>
  <si>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</si>
  <si>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</si>
  <si>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</si>
  <si>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</si>
  <si>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</si>
  <si>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</si>
  <si>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</si>
  <si>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</si>
  <si>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</si>
  <si>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</si>
  <si>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</si>
  <si>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</si>
  <si>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</si>
  <si>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</si>
  <si>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</si>
  <si>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</si>
  <si>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</si>
  <si>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</si>
  <si>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</si>
  <si>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</si>
  <si>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</si>
  <si>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</si>
  <si>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</si>
  <si>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</si>
  <si>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</si>
  <si>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</si>
  <si>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</si>
  <si>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</si>
  <si>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</si>
  <si>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</si>
  <si>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</si>
  <si>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</si>
  <si>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</si>
  <si>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</si>
  <si>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</si>
  <si>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</si>
  <si>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</si>
  <si>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</si>
  <si>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</si>
  <si>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</si>
  <si>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</si>
  <si>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</si>
  <si>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</si>
  <si>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</si>
  <si>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</si>
  <si>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</si>
  <si>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</si>
  <si>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</si>
  <si>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</si>
  <si>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</si>
  <si>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</si>
  <si>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</si>
  <si>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</si>
  <si>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</si>
  <si>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</si>
  <si>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</si>
  <si>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</si>
  <si>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</si>
  <si>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</si>
  <si>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</si>
  <si>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</si>
  <si>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</si>
  <si>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</si>
  <si>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</si>
  <si>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</si>
  <si>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</si>
  <si>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</si>
  <si>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</si>
  <si>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</si>
  <si>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</si>
  <si>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</si>
  <si>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</si>
  <si>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</si>
  <si>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</si>
  <si>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</si>
  <si>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</si>
  <si>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</si>
  <si>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</si>
  <si>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</si>
  <si>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</si>
  <si>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</si>
  <si>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</si>
  <si>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</si>
  <si>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</si>
  <si>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</si>
  <si>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</si>
  <si>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</si>
  <si>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</si>
  <si>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</si>
  <si>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</si>
  <si>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</si>
  <si>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</si>
  <si>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</si>
  <si>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</si>
  <si>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</si>
  <si>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</si>
  <si>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</si>
  <si>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</si>
  <si>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</si>
  <si>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</si>
  <si>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</si>
  <si>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</si>
  <si>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</si>
  <si>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</si>
  <si>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</si>
  <si>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</si>
  <si>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</si>
  <si>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</si>
  <si>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</si>
  <si>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</si>
  <si>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</si>
  <si>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</si>
  <si>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</si>
  <si>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</si>
  <si>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</si>
  <si>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</si>
  <si>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</si>
  <si>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</si>
  <si>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</si>
  <si>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</si>
  <si>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</si>
  <si>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</si>
  <si>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</si>
  <si>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</si>
  <si>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</si>
  <si>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</si>
  <si>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</si>
  <si>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</si>
  <si>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</si>
  <si>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</si>
  <si>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</si>
  <si>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</si>
  <si>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</si>
  <si>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</si>
  <si>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</si>
  <si>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</si>
  <si>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</si>
  <si>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</si>
  <si>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</si>
  <si>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</si>
  <si>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</si>
  <si>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</si>
  <si>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</si>
  <si>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</si>
  <si>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</si>
  <si>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</si>
  <si>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</si>
  <si>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</si>
  <si>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</si>
  <si>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</si>
  <si>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</si>
  <si>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</si>
  <si>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</si>
  <si>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</si>
  <si>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</si>
  <si>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</si>
  <si>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</si>
  <si>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</si>
  <si>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</si>
  <si>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</si>
  <si>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</si>
  <si>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</si>
  <si>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</si>
  <si>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</si>
  <si>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</si>
  <si>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</si>
  <si>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</si>
  <si>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</si>
  <si>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</si>
  <si>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</si>
  <si>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</si>
  <si>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</si>
  <si>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</si>
  <si>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</si>
  <si>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</si>
  <si>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</si>
  <si>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</si>
  <si>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</si>
  <si>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</si>
  <si>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</si>
  <si>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</si>
  <si>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</si>
  <si>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</si>
  <si>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</si>
  <si>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</si>
  <si>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</si>
  <si>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</si>
  <si>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</si>
  <si>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</si>
  <si>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</si>
  <si>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</si>
  <si>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</si>
  <si>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</si>
  <si>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</si>
  <si>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</si>
  <si>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</si>
  <si>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</si>
  <si>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</si>
  <si>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</si>
  <si>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</si>
  <si>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</si>
  <si>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</si>
  <si>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</si>
  <si>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</si>
  <si>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</si>
  <si>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</si>
  <si>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</si>
  <si>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</si>
  <si>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</si>
  <si>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</si>
  <si>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</si>
  <si>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</si>
  <si>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</si>
  <si>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</si>
  <si>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</si>
  <si>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</si>
  <si>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</si>
  <si>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</si>
  <si>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</si>
  <si>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</si>
  <si>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</si>
  <si>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</si>
  <si>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</si>
  <si>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</si>
  <si>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</si>
  <si>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</si>
  <si>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</si>
  <si>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</si>
  <si>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</si>
  <si>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</si>
  <si>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</si>
  <si>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</si>
  <si>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</si>
  <si>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</si>
  <si>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</si>
  <si>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</si>
  <si>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</si>
  <si>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</si>
  <si>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</si>
  <si>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</si>
  <si>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</si>
  <si>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</si>
  <si>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</si>
  <si>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</si>
  <si>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</si>
  <si>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</si>
  <si>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</si>
  <si>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</si>
  <si>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</si>
  <si>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</si>
  <si>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</si>
  <si>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</si>
  <si>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</si>
  <si>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</si>
  <si>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</si>
  <si>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</si>
  <si>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</si>
  <si>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</si>
  <si>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</si>
  <si>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</si>
  <si>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</si>
  <si>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</si>
  <si>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</si>
  <si>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</si>
  <si>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</si>
  <si>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</si>
  <si>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</si>
  <si>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</si>
  <si>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</si>
  <si>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</si>
  <si>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</si>
  <si>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</si>
  <si>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</si>
  <si>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</si>
  <si>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</si>
  <si>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</si>
  <si>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</si>
  <si>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</si>
  <si>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</si>
  <si>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</si>
  <si>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</si>
  <si>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</si>
  <si>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</si>
  <si>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</si>
  <si>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</si>
  <si>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</si>
  <si>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</si>
  <si>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</si>
  <si>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</si>
  <si>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</si>
  <si>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</si>
  <si>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</si>
  <si>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</si>
  <si>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</si>
  <si>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</si>
  <si>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</si>
  <si>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</si>
  <si>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</si>
  <si>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</si>
  <si>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</si>
  <si>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</si>
  <si>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</si>
  <si>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</si>
  <si>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</si>
  <si>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TVITJA</t>
  </si>
  <si>
    <t>TP-492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</si>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</sst>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59" activePane="bottomRight" state="frozen"/>
      <selection pane="bottomRight" activeCell="BJ63" sqref="BJ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ERRO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1271</v>
      </c>
      <c r="BK63" s="16"/>
      <c r="BL63" s="15"/>
      <c r="BM63" s="14"/>
      <c r="BN63" s="14"/>
      <c r="BO63" s="165"/>
      <c r="BP63" s="16"/>
      <c r="BQ63" s="12" t="e">
        <f t="shared" si="2"/>
        <v>#VALUE!</v>
      </c>
      <c r="BR63" s="18" t="e">
        <f t="shared" si="3"/>
        <v>#VALUE!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1274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1275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1276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1277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0" t="str">
        <f>IFERROR(_xlfn.XLOOKUP(J71, BASE_MAPA!$E$2:$E$359, BASE_MAPA!$J$2:$J$359), "ERRO")</f>
        <v>MARCO INICIAL - ALTO ARAGUAIA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1278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1279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>A60</v>
      </c>
      <c r="B75" s="171"/>
      <c r="C75" s="8" t="str">
        <f>IF(BS_CONTROLE[[#This Row],[DATA]]="","",WEEKNUM(BS_CONTROLE[[#This Row],[DATA]]))</f>
        <v/>
      </c>
      <c r="D75" s="51" t="s">
        <v>107</v>
      </c>
      <c r="E75" s="320">
        <v>70</v>
      </c>
      <c r="F75" s="172" t="s">
        <v>33</v>
      </c>
      <c r="G75" s="9" t="str">
        <f>IF(D75="","*",VLOOKUP(F75,BS_ATIVIDADE[#All],3,FALSE))</f>
        <v>DETECÇÃO</v>
      </c>
      <c r="H75" s="173" t="s">
        <v>608</v>
      </c>
      <c r="I75" s="173" t="s">
        <v>1262</v>
      </c>
      <c r="J75" s="217">
        <v>74</v>
      </c>
      <c r="K75" s="217">
        <v>291.32499999999999</v>
      </c>
      <c r="L75" s="83"/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5" s="173"/>
      <c r="P75" s="173"/>
      <c r="Q75" s="83"/>
      <c r="R75" s="10" t="str">
        <f>IFERROR(_xlfn.XLOOKUP(F75, BS_ATIVIDADE[ATIVIDADE],BS_ATIVIDADE[UNIDADE] ), "*")</f>
        <v>KM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DETECÇÃO - RONDA 7 DIAS</v>
      </c>
      <c r="AJ75" s="9" t="str">
        <f>IF(D75="","*",VLOOKUP(AI75,BS_ATIVIDADE[#Data],3,FALSE))</f>
        <v>DETECÇÃO</v>
      </c>
      <c r="AK75" s="284" t="str">
        <f>IF(BS_CONTROLE[[#This Row],[Local - Partida]]=0, "-", BS_CONTROLE[[#This Row],[Local - Partida]])</f>
        <v>TCS</v>
      </c>
      <c r="AL75" s="284" t="str">
        <f>IF(BS_CONTROLE[[#This Row],[Local - Encerramento]]=0, "-", BS_CONTROLE[[#This Row],[Local - Encerramento]])</f>
        <v>TAG</v>
      </c>
      <c r="AM75" s="284" t="str">
        <f>IF(BS_CONTROLE[[#This Row],[Entre - Estações]]=0, "-", BS_CONTROLE[[#This Row],[Entre - Estações]])</f>
        <v>TRC</v>
      </c>
      <c r="AN75" s="284" t="str">
        <f>IF(BS_CONTROLE[[#This Row],[SB]]=0, "-", BS_CONTROLE[[#This Row],[SB]])</f>
        <v>291TRC1</v>
      </c>
      <c r="AO75" s="285">
        <f>IF(BS_CONTROLE[[#This Row],[SUB]]=0, "-", BS_CONTROLE[[#This Row],[SUB]])</f>
        <v>74</v>
      </c>
      <c r="AP75" s="286">
        <f>IF(BS_CONTROLE[[#This Row],[KM - Inicio]]=0, "-", BS_CONTROLE[[#This Row],[KM - Inicio]])</f>
        <v>291.32499999999999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KM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/>
      <c r="M77" s="204"/>
      <c r="N77" s="204"/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1280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1281</v>
      </c>
      <c r="E3" s="322" t="s">
        <v>1282</v>
      </c>
      <c r="F3" s="322" t="s">
        <v>1283</v>
      </c>
      <c r="G3" s="322" t="s">
        <v>1284</v>
      </c>
      <c r="H3" s="322" t="s">
        <v>1285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1286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1287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1288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1289</v>
      </c>
      <c r="C4" s="327" t="s">
        <v>1290</v>
      </c>
      <c r="D4" s="327" t="s">
        <v>1291</v>
      </c>
      <c r="E4" s="327" t="s">
        <v>1292</v>
      </c>
      <c r="F4" s="327" t="s">
        <v>351</v>
      </c>
      <c r="G4" s="327" t="s">
        <v>1293</v>
      </c>
      <c r="H4" s="192"/>
    </row>
    <row r="5" spans="1:8" ht="43.5">
      <c r="A5" s="192"/>
      <c r="B5" s="328" t="s">
        <v>1294</v>
      </c>
      <c r="C5" s="328">
        <v>309525</v>
      </c>
      <c r="D5" s="328" t="s">
        <v>1295</v>
      </c>
      <c r="E5" s="328" t="s">
        <v>239</v>
      </c>
      <c r="F5" s="328" t="s">
        <v>1296</v>
      </c>
      <c r="G5" s="329">
        <v>46296</v>
      </c>
      <c r="H5" s="192"/>
    </row>
    <row r="6" spans="1:8" ht="43.5">
      <c r="A6" s="192"/>
      <c r="B6" s="328" t="s">
        <v>1297</v>
      </c>
      <c r="C6" s="328">
        <v>256875</v>
      </c>
      <c r="D6" s="328" t="s">
        <v>1298</v>
      </c>
      <c r="E6" s="328" t="s">
        <v>239</v>
      </c>
      <c r="F6" s="328" t="s">
        <v>1296</v>
      </c>
      <c r="G6" s="329">
        <v>46296</v>
      </c>
      <c r="H6" s="192"/>
    </row>
    <row r="7" spans="1:8" ht="43.5">
      <c r="A7" s="192"/>
      <c r="B7" s="328" t="s">
        <v>1299</v>
      </c>
      <c r="C7" s="328">
        <v>257278</v>
      </c>
      <c r="D7" s="328" t="s">
        <v>1300</v>
      </c>
      <c r="E7" s="328" t="s">
        <v>230</v>
      </c>
      <c r="F7" s="328" t="s">
        <v>1301</v>
      </c>
      <c r="G7" s="329">
        <v>46235</v>
      </c>
      <c r="H7" s="192"/>
    </row>
    <row r="8" spans="1:8" ht="43.5">
      <c r="A8" s="192"/>
      <c r="B8" s="328" t="s">
        <v>1302</v>
      </c>
      <c r="C8" s="328">
        <v>261794</v>
      </c>
      <c r="D8" s="328" t="s">
        <v>1303</v>
      </c>
      <c r="E8" s="328" t="s">
        <v>230</v>
      </c>
      <c r="F8" s="328" t="s">
        <v>1301</v>
      </c>
      <c r="G8" s="329">
        <v>46082</v>
      </c>
      <c r="H8" s="192"/>
    </row>
    <row r="9" spans="1:8" ht="43.5">
      <c r="A9" s="192"/>
      <c r="B9" s="328" t="s">
        <v>1304</v>
      </c>
      <c r="C9" s="328">
        <v>257033</v>
      </c>
      <c r="D9" s="328" t="s">
        <v>1305</v>
      </c>
      <c r="E9" s="328" t="s">
        <v>230</v>
      </c>
      <c r="F9" s="328" t="s">
        <v>538</v>
      </c>
      <c r="G9" s="328" t="s">
        <v>1306</v>
      </c>
      <c r="H9" s="192"/>
    </row>
    <row r="10" spans="1:8" ht="43.5">
      <c r="A10" s="192"/>
      <c r="B10" s="328" t="s">
        <v>1307</v>
      </c>
      <c r="C10" s="328">
        <v>396578</v>
      </c>
      <c r="D10" s="328" t="s">
        <v>1308</v>
      </c>
      <c r="E10" s="328" t="s">
        <v>230</v>
      </c>
      <c r="F10" s="328" t="s">
        <v>538</v>
      </c>
      <c r="G10" s="328" t="s">
        <v>1306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1309</v>
      </c>
      <c r="D5" s="361"/>
      <c r="E5" s="361"/>
      <c r="F5" s="361"/>
      <c r="G5" s="361"/>
      <c r="H5" s="361"/>
      <c r="I5" s="361"/>
      <c r="J5" s="362"/>
      <c r="K5" s="363" t="s">
        <v>1310</v>
      </c>
      <c r="L5" s="364"/>
      <c r="M5" s="364"/>
      <c r="N5" s="364"/>
      <c r="O5" s="365" t="s">
        <v>1311</v>
      </c>
      <c r="P5" s="366"/>
      <c r="Q5" s="367"/>
    </row>
    <row r="6" spans="1:17" s="93" customFormat="1" ht="15.75" customHeight="1">
      <c r="A6" s="87" t="s">
        <v>1312</v>
      </c>
      <c r="B6" s="94" t="s">
        <v>1313</v>
      </c>
      <c r="C6" s="95" t="s">
        <v>1163</v>
      </c>
      <c r="D6" s="96" t="s">
        <v>1164</v>
      </c>
      <c r="E6" s="95" t="s">
        <v>1314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1315</v>
      </c>
      <c r="M6" s="139" t="s">
        <v>30</v>
      </c>
      <c r="N6" s="140" t="s">
        <v>1158</v>
      </c>
      <c r="O6" s="246" t="s">
        <v>1201</v>
      </c>
      <c r="P6" s="157"/>
      <c r="Q6" s="193" t="s">
        <v>1316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*</v>
      </c>
      <c r="C73" s="99" t="str">
        <f>IF(FN_MC!S71="","*",FN_MC!S71)</f>
        <v>FERRONORTE</v>
      </c>
      <c r="D73" s="99" t="str">
        <f>IF(FN_MC!T71="","*",FN_MC!T71)</f>
        <v>TCS-TGR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*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FERRONORTE</v>
      </c>
      <c r="D77" s="99" t="str">
        <f>IF(FN_MC!T75="","*",FN_MC!T75)</f>
        <v>TCS-TGR</v>
      </c>
      <c r="E77" s="99" t="str">
        <f>IF(FN_MC!D75="","*",FN_MC!D75)</f>
        <v>A60</v>
      </c>
      <c r="F77" s="99" t="str">
        <f>IF(FN_MC!H75="","*",FN_MC!H75)</f>
        <v>TCS</v>
      </c>
      <c r="G77" s="99" t="str">
        <f>IF(FN_MC!M75="","*",FN_MC!M75)</f>
        <v>TRC</v>
      </c>
      <c r="H77" s="154">
        <f>IF(FN_MC!K75="","*",FN_MC!K75)</f>
        <v>291.32499999999999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TCS</v>
      </c>
      <c r="L77" s="141" t="str">
        <f>IF(FN_MC!AM75="","*",FN_MC!AM75)</f>
        <v>TRC</v>
      </c>
      <c r="M77" s="141">
        <f>IF(FN_MC!AP75="","*",FN_MC!AP75)</f>
        <v>291.32499999999999</v>
      </c>
      <c r="N77" s="141" t="str">
        <f>IF(FN_MC!AM75="","*",FN_MC!AM75)</f>
        <v>TRC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*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1317</v>
      </c>
      <c r="W1" s="373"/>
      <c r="X1" s="373"/>
      <c r="Y1" s="104"/>
    </row>
    <row r="2" spans="1:25" s="100" customFormat="1" ht="11.25" customHeight="1">
      <c r="A2" s="105" t="s">
        <v>1318</v>
      </c>
      <c r="B2" s="105" t="s">
        <v>1313</v>
      </c>
      <c r="C2" s="105" t="s">
        <v>7</v>
      </c>
      <c r="D2" s="106" t="s">
        <v>1163</v>
      </c>
      <c r="E2" s="106" t="s">
        <v>1164</v>
      </c>
      <c r="F2" s="106" t="s">
        <v>1312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1319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TCS-TGR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FERRONORTE</v>
      </c>
      <c r="E73" s="110" t="str">
        <f>IF(FN_MC!T75="","*",FN_MC!T75)</f>
        <v>TCS-TGR</v>
      </c>
      <c r="F73" s="110" t="str">
        <f>IF(FN_MC!B75="","*",FN_MC!B75)</f>
        <v>*</v>
      </c>
      <c r="G73" s="110" t="str">
        <f>IF(FN_MC!D75="","*",FN_MC!D75)</f>
        <v>A60</v>
      </c>
      <c r="H73" s="110" t="str">
        <f>IF(FN_MC!F75="","*",FN_MC!F75)</f>
        <v>DETECÇÃO - RONDA 7 DIAS</v>
      </c>
      <c r="I73" s="110" t="str">
        <f>IF(FN_MC!H75="","*",FN_MC!H75)</f>
        <v>TCS</v>
      </c>
      <c r="J73" s="110" t="str">
        <f>IF(FN_MC!I75="","*",FN_MC!I75)</f>
        <v>TAG</v>
      </c>
      <c r="K73" s="110" t="str">
        <f>IF(FN_MC!M75="","*",FN_MC!M75)</f>
        <v>TRC</v>
      </c>
      <c r="L73" s="110" t="str">
        <f>IF(FN_MC!N75="","*",FN_MC!N75)</f>
        <v>291TRC1</v>
      </c>
      <c r="M73" s="111">
        <f>IF(FN_MC!J75="","*",FN_MC!J75)</f>
        <v>74</v>
      </c>
      <c r="N73" s="296">
        <f>IF(FN_MC!K75="","*",FN_MC!K75)</f>
        <v>291.32499999999999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*</v>
      </c>
      <c r="L75" s="110" t="str">
        <f>IF(FN_MC!N77="","*",FN_MC!N77)</f>
        <v>*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*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1320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1321</v>
      </c>
      <c r="C2" s="95" t="s">
        <v>1148</v>
      </c>
      <c r="D2" s="95" t="s">
        <v>1150</v>
      </c>
      <c r="E2" s="95" t="s">
        <v>1322</v>
      </c>
      <c r="F2" s="95" t="s">
        <v>1323</v>
      </c>
      <c r="G2" s="95" t="s">
        <v>1324</v>
      </c>
      <c r="H2" s="95" t="s">
        <v>1325</v>
      </c>
      <c r="I2" s="95" t="s">
        <v>1326</v>
      </c>
      <c r="J2" s="95" t="s">
        <v>1327</v>
      </c>
      <c r="K2" s="131" t="s">
        <v>1328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A60</v>
      </c>
      <c r="E73" s="121" t="str">
        <f>IF(FN_MC!H75="","*",FN_MC!H75)</f>
        <v>TCS</v>
      </c>
      <c r="F73" s="137" t="str">
        <f>IF(FN_MC!M75="","*",FN_MC!M75)</f>
        <v>TRC</v>
      </c>
      <c r="G73" s="121" t="str">
        <f>IF(FN_MC!I75="","*",FN_MC!I75)</f>
        <v>TAG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*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2026-01-05T16:41:19Z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