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93" documentId="8_{B6337239-1A00-434D-AAD0-422EA1FEB5AE}" xr6:coauthVersionLast="47" xr6:coauthVersionMax="47" xr10:uidLastSave="{489A7F5A-E530-48C4-A8C5-880F94D4208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3" i="1" l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<sst xmlns="http://schemas.openxmlformats.org/spreadsheetml/2006/main" count="9666" uniqueCount="1964">
  <si>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</si>
  <si>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</si>
  <si>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</si>
  <si>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</si>
  <si>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</si>
  <si>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</si>
  <si>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</si>
  <si>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</si>
  <si>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</si>
  <si>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</si>
  <si>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</si>
  <si>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</si>
  <si>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</si>
  <si>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</si>
  <si>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</si>
  <si>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</si>
  <si>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</si>
  <si>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</si>
  <si>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</si>
  <si>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</si>
  <si>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</si>
  <si>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</si>
  <si>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</si>
  <si>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</si>
  <si>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</si>
  <si>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</si>
  <si>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</si>
  <si>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</si>
  <si>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</si>
  <si>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</si>
  <si>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</si>
  <si>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</si>
  <si>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</si>
  <si>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</si>
  <si>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</si>
  <si>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</si>
  <si>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</si>
  <si>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</si>
  <si>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</si>
  <si>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</si>
  <si>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</si>
  <si>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</si>
  <si>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</si>
  <si>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</si>
  <si>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</si>
  <si>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</si>
  <si>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</si>
  <si>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</si>
  <si>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</si>
  <si>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</si>
  <si>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</si>
  <si>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</si>
  <si>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</si>
  <si>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</si>
  <si>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</si>
  <si>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</si>
  <si>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</si>
  <si>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</si>
  <si>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</si>
  <si>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</si>
  <si>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</si>
  <si>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</si>
  <si>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</si>
  <si>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</si>
  <si>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</si>
  <si>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</si>
  <si>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</si>
  <si>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</si>
  <si>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</si>
  <si>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</si>
  <si>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</si>
  <si>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</si>
  <si>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</si>
  <si>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</si>
  <si>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</si>
  <si>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</si>
  <si>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</si>
  <si>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</si>
  <si>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</si>
  <si>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</si>
  <si>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</si>
  <si>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</si>
  <si>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</si>
  <si>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</si>
  <si>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</si>
  <si>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</si>
  <si>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</si>
  <si>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</si>
  <si>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</si>
  <si>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</si>
  <si>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</si>
  <si>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</si>
  <si>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</si>
  <si>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</si>
  <si>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</si>
  <si>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</si>
  <si>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</si>
  <si>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</si>
  <si>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</si>
  <si>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</si>
  <si>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</si>
  <si>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</si>
  <si>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</si>
  <si>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</si>
  <si>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</si>
  <si>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</si>
  <si>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</si>
  <si>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</si>
  <si>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</si>
  <si>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</si>
  <si>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</si>
  <si>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</si>
  <si>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</si>
  <si>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</si>
  <si>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</si>
  <si>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</si>
  <si>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</si>
  <si>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</si>
  <si>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</si>
  <si>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</si>
  <si>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</si>
  <si>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</si>
  <si>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</si>
  <si>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</si>
  <si>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</si>
  <si>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</si>
  <si>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</si>
  <si>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</si>
  <si>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</si>
  <si>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</si>
  <si>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</si>
  <si>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</si>
  <si>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</si>
  <si>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</si>
  <si>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</si>
  <si>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</si>
  <si>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</si>
  <si>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</si>
  <si>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</si>
  <si>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</si>
  <si>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</si>
  <si>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</si>
  <si>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</si>
  <si>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</si>
  <si>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</si>
  <si>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</si>
  <si>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</si>
  <si>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</si>
  <si>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</si>
  <si>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</si>
  <si>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</si>
  <si>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</si>
  <si>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</si>
  <si>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</si>
  <si>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</si>
  <si>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</si>
  <si>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</si>
  <si>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</si>
  <si>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</si>
  <si>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</si>
  <si>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</si>
  <si>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</si>
  <si>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</si>
  <si>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</si>
  <si>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</si>
  <si>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</si>
  <si>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</si>
  <si>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</si>
  <si>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</si>
  <si>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</si>
  <si>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</si>
  <si>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</si>
  <si>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</si>
  <si>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</si>
  <si>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</si>
  <si>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</si>
  <si>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</si>
  <si>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</si>
  <si>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</si>
  <si>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</si>
  <si>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</si>
  <si>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</si>
  <si>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</si>
  <si>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</si>
  <si>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</si>
  <si>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</si>
  <si>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</si>
  <si>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</si>
  <si>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</si>
  <si>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</si>
  <si>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</si>
  <si>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</si>
  <si>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</si>
  <si>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</si>
  <si>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</si>
  <si>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</si>
  <si>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</si>
  <si>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</si>
  <si>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</si>
  <si>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</si>
  <si>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</si>
  <si>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</si>
  <si>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</si>
  <si>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</si>
  <si>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</si>
  <si>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</si>
  <si>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</si>
  <si>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</si>
  <si>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</si>
  <si>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</si>
  <si>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</si>
  <si>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</si>
  <si>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</si>
  <si>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</si>
  <si>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</si>
  <si>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</si>
  <si>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</si>
  <si>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</si>
  <si>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</si>
  <si>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</si>
  <si>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</si>
  <si>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</si>
  <si>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</si>
  <si>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</si>
  <si>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</si>
  <si>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</si>
  <si>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</si>
  <si>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</si>
  <si>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</si>
  <si>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</si>
  <si>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</si>
  <si>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</si>
  <si>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</si>
  <si>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</si>
  <si>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</si>
  <si>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</si>
  <si>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</si>
  <si>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</si>
  <si>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</si>
  <si>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</si>
  <si>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</si>
  <si>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</si>
  <si>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</si>
  <si>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</si>
  <si>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</si>
  <si>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</si>
  <si>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</si>
  <si>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</si>
  <si>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</si>
  <si>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</si>
  <si>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</si>
  <si>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</si>
  <si>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</si>
  <si>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</si>
  <si>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</si>
  <si>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</si>
  <si>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</si>
  <si>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</si>
  <si>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</si>
  <si>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</si>
  <si>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</si>
  <si>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</si>
  <si>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</si>
  <si>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</si>
  <si>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</si>
  <si>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</si>
  <si>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</si>
  <si>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</si>
  <si>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</si>
  <si>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</si>
  <si>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</si>
  <si>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</si>
  <si>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</si>
  <si>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</si>
  <si>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</si>
  <si>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</si>
  <si>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</si>
  <si>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</si>
  <si>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</si>
  <si>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</si>
  <si>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</si>
  <si>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</si>
  <si>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</si>
  <si>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</si>
  <si>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</si>
  <si>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</si>
  <si>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</si>
  <si>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</si>
  <si>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</si>
  <si>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</si>
  <si>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</si>
  <si>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</si>
  <si>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</si>
  <si>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</si>
  <si>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</si>
  <si>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</si>
  <si>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</si>
  <si>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</si>
  <si>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</si>
  <si>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</si>
  <si>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</si>
  <si>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</si>
  <si>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</si>
  <si>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</si>
  <si>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</si>
  <si>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</si>
  <si>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</si>
  <si>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</si>
  <si>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</si>
  <si>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</si>
  <si>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</si>
  <si>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</si>
  <si>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</si>
  <si>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</si>
  <si>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</si>
  <si>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</si>
  <si>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</si>
  <si>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</si>
  <si>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</si>
  <si>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</si>
  <si>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</si>
  <si>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</si>
  <si>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</si>
  <si>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</si>
  <si>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</si>
  <si>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</si>
  <si>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</si>
  <si>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</si>
  <si>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</si>
  <si>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</si>
  <si>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</si>
  <si>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</si>
  <si>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</si>
  <si>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</si>
  <si>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</si>
  <si>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</si>
  <si>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</si>
  <si>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</si>
  <si>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</si>
  <si>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</si>
  <si>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</si>
  <si>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</si>
  <si>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</si>
  <si>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</si>
  <si>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</si>
  <si>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</si>
  <si>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</si>
  <si>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</si>
  <si>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</si>
  <si>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</si>
  <si>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</si>
  <si>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</si>
  <si>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</si>
  <si>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</si>
  <si>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</si>
  <si>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</si>
  <si>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</si>
  <si>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</si>
  <si>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</si>
  <si>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</si>
  <si>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</si>
  <si>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</si>
  <si>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</si>
  <si>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</si>
  <si>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</si>
  <si>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</si>
  <si>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</si>
  <si>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</si>
  <si>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</si>
  <si>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</si>
  <si>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</si>
  <si>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</si>
  <si>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</si>
  <si>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</si>
  <si>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</si>
  <si>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</si>
  <si>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</si>
  <si>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</si>
  <si>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</si>
  <si>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</si>
  <si>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</si>
  <si>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</si>
  <si>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</si>
  <si>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</si>
  <si>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</si>
  <si>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</si>
  <si>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</si>
  <si>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</si>
  <si>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</si>
  <si>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</si>
  <si>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</si>
  <si>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</si>
  <si>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</si>
  <si>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</si>
  <si>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</si>
  <si>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</si>
  <si>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</si>
  <si>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</si>
  <si>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</si>
  <si>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</si>
  <si>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</si>
  <si>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</si>
  <si>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</si>
  <si>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</si>
  <si>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</si>
  <si>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</si>
  <si>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</si>
  <si>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</si>
  <si>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</si>
  <si>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</si>
  <si>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</si>
  <si>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</si>
  <si>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</si>
  <si>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</si>
  <si>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</si>
  <si>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</si>
  <si>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</si>
  <si>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</si>
  <si>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</si>
  <si>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</si>
  <si>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</si>
  <si>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</si>
  <si>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</si>
  <si>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</si>
  <si>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</si>
  <si>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</si>
  <si>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</si>
  <si>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</si>
  <si>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</si>
  <si>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</si>
  <si>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</si>
  <si>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</si>
  <si>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</si>
  <si>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</si>
  <si>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</si>
  <si>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</si>
  <si>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</si>
  <si>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</si>
  <si>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</si>
  <si>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</si>
  <si>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</si>
  <si>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</si>
  <si>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</si>
  <si>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</si>
  <si>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</si>
  <si>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</si>
  <si>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</si>
  <si>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</si>
  <si>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</si>
  <si>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</si>
  <si>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</si>
  <si>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</si>
  <si>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</si>
  <si>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</si>
  <si>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</si>
  <si>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</si>
  <si>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</si>
  <si>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</si>
  <si>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</si>
  <si>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</si>
  <si>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</si>
  <si>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</si>
  <si>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</si>
  <si>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</si>
  <si>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</si>
  <si>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</si>
  <si>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</si>
  <si>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</si>
  <si>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</si>
  <si>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</si>
  <si>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</si>
  <si>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</si>
  <si>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</si>
  <si>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</si>
  <si>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</si>
  <si>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</si>
  <si>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</si>
  <si>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</si>
  <si>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</si>
  <si>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</si>
  <si>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</si>
  <si>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</si>
  <si>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</si>
  <si>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</si>
  <si>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</si>
  <si>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</si>
  <si>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</si>
  <si>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</si>
  <si>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</si>
  <si>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</si>
  <si>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</si>
  <si>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</si>
  <si>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</si>
  <si>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</si>
  <si>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</si>
  <si>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</si>
  <si>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</si>
  <si>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</si>
  <si>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</si>
  <si>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</si>
  <si>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</si>
  <si>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</si>
  <si>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</si>
  <si>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</si>
  <si>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</si>
  <si>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</si>
  <si>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</si>
  <si>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</si>
  <si>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</si>
  <si>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</si>
  <si>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</si>
  <si>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</si>
  <si>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</si>
  <si>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</si>
  <si>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</si>
  <si>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</si>
  <si>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</si>
  <si>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</si>
  <si>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</si>
  <si>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</si>
  <si>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</si>
  <si>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</si>
  <si>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</si>
  <si>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</si>
  <si>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</si>
  <si>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</si>
  <si>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</si>
  <si>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</si>
  <si>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</si>
  <si>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</si>
  <si>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</si>
  <si>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</si>
  <si>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</si>
  <si>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</si>
  <si>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</si>
  <si>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</si>
  <si>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</si>
  <si>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</si>
  <si>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</si>
  <si>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</si>
  <si>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</si>
  <si>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</si>
  <si>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</si>
  <si>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</si>
  <si>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</si>
  <si>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</si>
  <si>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</si>
  <si>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</si>
  <si>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</si>
  <si>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</si>
  <si>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</si>
  <si>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</si>
  <si>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</si>
  <si>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</si>
  <si>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</si>
  <si>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</si>
  <si>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</si>
  <si>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</si>
  <si>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</si>
  <si>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</si>
  <si>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</si>
  <si>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</si>
  <si>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</si>
  <si>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</si>
  <si>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</si>
  <si>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</si>
  <si>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</si>
  <si>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</si>
  <si>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</si>
  <si>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</si>
  <si>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</si>
  <si>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</si>
  <si>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</si>
  <si>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</si>
  <si>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</si>
  <si>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</si>
  <si>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</si>
  <si>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</si>
  <si>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</si>
  <si>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</si>
  <si>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</si>
  <si>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</si>
  <si>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</si>
  <si>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</si>
  <si>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</si>
  <si>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</si>
  <si>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</si>
  <si>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</si>
  <si>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</si>
  <si>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</si>
  <si>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</si>
  <si>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</si>
  <si>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</si>
  <si>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</si>
  <si>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</si>
  <si>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</si>
  <si>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</si>
  <si>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</si>
  <si>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</si>
  <si>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</si>
  <si>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</si>
  <si>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</si>
  <si>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</si>
  <si>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</si>
  <si>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</si>
  <si>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</si>
  <si>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</si>
  <si>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</si>
  <si>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</si>
  <si>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</si>
  <si>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</si>
  <si>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</si>
  <si>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</si>
  <si>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</si>
  <si>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</si>
  <si>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</si>
  <si>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</si>
  <si>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</si>
  <si>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</si>
  <si>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</si>
  <si>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</si>
  <si>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</si>
  <si>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</si>
  <si>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</si>
  <si>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</si>
  <si>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</si>
  <si>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</si>
  <si>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</si>
  <si>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</si>
  <si>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</si>
  <si>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</si>
  <si>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</si>
  <si>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</si>
  <si>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</si>
  <si>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</si>
  <si>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</si>
  <si>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</si>
  <si>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</si>
  <si>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</si>
  <si>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</si>
  <si>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</si>
  <si>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</si>
  <si>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</si>
  <si>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</si>
  <si>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</si>
  <si>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</si>
  <si>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</si>
  <si>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</si>
  <si>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</si>
  <si>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</si>
  <si>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</si>
  <si>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</si>
  <si>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</si>
  <si>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</si>
  <si>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</si>
  <si>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</si>
  <si>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</si>
  <si>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</si>
  <si>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</si>
  <si>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</si>
  <si>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</si>
  <si>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</si>
  <si>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</si>
  <si>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</si>
  <si>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</si>
  <si>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</si>
  <si>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</si>
  <si>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</si>
  <si>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</si>
  <si>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</si>
  <si>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</si>
  <si>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</si>
  <si>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</si>
  <si>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</si>
  <si>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</si>
  <si>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</si>
  <si>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</si>
  <si>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</si>
  <si>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</si>
  <si>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</si>
  <si>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</si>
  <si>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</si>
  <si>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</si>
  <si>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</si>
  <si>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</si>
  <si>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</si>
  <si>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</si>
  <si>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</si>
  <si>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</si>
  <si>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</si>
  <si>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</si>
  <si>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</si>
  <si>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</si>
  <si>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</si>
  <si>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</si>
  <si>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</si>
  <si>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</si>
  <si>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</si>
  <si>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</si>
  <si>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</si>
  <si>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</si>
  <si>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</si>
  <si>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</si>
  <si>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</si>
  <si>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</si>
  <si>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</si>
  <si>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</si>
  <si>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</si>
  <si>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</si>
  <si>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</si>
  <si>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</si>
  <si>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</si>
  <si>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</si>
  <si>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</si>
  <si>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</si>
  <si>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</si>
  <si>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</si>
  <si>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</si>
  <si>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</si>
  <si>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</si>
  <si>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</si>
  <si>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</si>
  <si>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</si>
  <si>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</si>
  <si>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</si>
  <si>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</si>
  <si>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</si>
  <si>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</si>
  <si>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</si>
  <si>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</si>
  <si>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</si>
  <si>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</si>
  <si>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</si>
  <si>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</si>
  <si>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</si>
  <si>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</si>
  <si>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</si>
  <si>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</si>
  <si>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</si>
  <si>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</si>
  <si>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</si>
  <si>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</si>
  <si>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</si>
  <si>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</si>
  <si>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</si>
  <si>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</si>
  <si>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</si>
  <si>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</si>
  <si>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</si>
  <si>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</si>
  <si>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</si>
  <si>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</si>
  <si>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</si>
  <si>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</si>
  <si>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</si>
  <si>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</si>
  <si>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</si>
  <si>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</si>
  <si>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</si>
  <si>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</si>
  <si>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</si>
  <si>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</si>
  <si>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</si>
  <si>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</si>
  <si>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</si>
  <si>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</si>
  <si>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</si>
  <si>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</si>
  <si>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</si>
  <si>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</si>
  <si>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</si>
  <si>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</si>
  <si>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</si>
  <si>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</si>
  <si>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</si>
  <si>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</si>
  <si>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</si>
  <si>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</si>
  <si>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</si>
  <si>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</si>
  <si>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</si>
  <si>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</si>
  <si>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</si>
  <si>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</si>
  <si>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</si>
  <si>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</si>
  <si>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</si>
  <si>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</si>
  <si>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</si>
  <si>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</si>
  <si>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</si>
  <si>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</si>
  <si>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</si>
  <si>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</si>
  <si>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</si>
  <si>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</si>
  <si>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</si>
  <si>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</si>
  <si>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</si>
  <si>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</si>
  <si>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</si>
  <si>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</si>
  <si>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</si>
  <si>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</si>
  <si>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</si>
  <si>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</si>
  <si>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</si>
  <si>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</si>
  <si>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</si>
  <si>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</si>
  <si>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</si>
  <si>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</si>
  <si>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</si>
  <si>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</si>
  <si>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</si>
  <si>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</si>
  <si>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</si>
  <si>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</si>
  <si>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</si>
  <si>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</si>
  <si>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</si>
  <si>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</si>
  <si>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</si>
  <si>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</si>
  <si>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</si>
  <si>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</si>
  <si>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</si>
  <si>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</si>
  <si>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</si>
  <si>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</si>
  <si>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</si>
  <si>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</si>
  <si>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</si>
  <si>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</si>
  <si>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</si>
  <si>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</si>
  <si>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</si>
  <si>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</si>
  <si>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</si>
  <si>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</si>
  <si>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</si>
  <si>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</si>
  <si>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</si>
  <si>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</si>
  <si>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</si>
  <si>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</si>
  <si>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</si>
  <si>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</si>
  <si>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</si>
  <si>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</si>
  <si>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</si>
  <si>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</si>
  <si>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</si>
  <si>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</si>
  <si>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</si>
  <si>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</si>
  <si>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</si>
  <si>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</si>
  <si>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</si>
  <si>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</si>
  <si>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</si>
  <si>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</si>
  <si>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</si>
  <si>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</si>
  <si>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</si>
  <si>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</si>
  <si>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</si>
  <si>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</si>
  <si>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</si>
  <si>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</si>
  <si>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</si>
  <si>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</si>
  <si>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</si>
  <si>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</si>
  <si>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</si>
  <si>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</si>
  <si>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</si>
  <si>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</si>
  <si>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</si>
  <si>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</si>
  <si>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</si>
  <si>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</si>
  <si>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</si>
  <si>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</si>
  <si>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</si>
  <si>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</si>
  <si>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</si>
  <si>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</si>
  <si>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</si>
  <si>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</si>
  <si>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</si>
  <si>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</si>
  <si>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</si>
  <si>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</si>
  <si>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</si>
  <si>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</si>
  <si>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</si>
  <si>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</si>
  <si>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</si>
  <si>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</si>
  <si>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</si>
  <si>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</si>
  <si>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</si>
  <si>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</si>
  <si>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</si>
  <si>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</si>
  <si>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</si>
  <si>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</si>
  <si>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</si>
  <si>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</si>
  <si>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</si>
  <si>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</si>
  <si>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</si>
  <si>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</si>
  <si>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</si>
  <si>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</si>
  <si>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</si>
  <si>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</si>
  <si>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</si>
  <si>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</si>
  <si>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</si>
  <si>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</si>
  <si>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</si>
  <si>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</si>
  <si>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</si>
  <si>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</si>
  <si>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</si>
  <si>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</si>
  <si>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</si>
  <si>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</si>
  <si>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</si>
  <si>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</si>
  <si>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</si>
  <si>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</si>
  <si>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</si>
  <si>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</si>
  <si>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</si>
  <si>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</si>
  <si>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</si>
  <si>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</si>
  <si>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</si>
  <si>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</si>
  <si>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</si>
  <si>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</si>
  <si>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</si>
  <si>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</si>
  <si>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</si>
  <si>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</si>
  <si>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</si>
  <si>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</si>
  <si>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</si>
  <si>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</si>
  <si>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</si>
  <si>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</si>
  <si>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</si>
  <si>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</si>
  <si>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</si>
  <si>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</si>
  <si>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</si>
  <si>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</si>
  <si>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</si>
  <si>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</si>
  <si>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</si>
  <si>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</si>
  <si>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</si>
  <si>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</si>
  <si>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</si>
  <si>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</si>
  <si>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</si>
  <si>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</si>
  <si>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</si>
  <si>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</si>
  <si>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</si>
  <si>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</si>
  <si>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</si>
  <si>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</si>
  <si>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</si>
  <si>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</si>
  <si>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</si>
  <si>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</si>
  <si>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</si>
  <si>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</si>
  <si>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</si>
  <si>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</si>
  <si>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</si>
  <si>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</si>
  <si>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</si>
  <si>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</si>
  <si>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</si>
  <si>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</si>
  <si>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</si>
  <si>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</si>
  <si>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</si>
  <si>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</si>
  <si>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</si>
  <si>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</si>
  <si>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</si>
  <si>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</si>
  <si>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</si>
  <si>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</si>
  <si>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</si>
  <si>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</si>
  <si>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</si>
  <si>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</si>
  <si>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</si>
  <si>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</si>
  <si>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</si>
  <si>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</si>
  <si>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</si>
  <si>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</si>
  <si>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</si>
  <si>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</si>
  <si>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</si>
  <si>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</si>
  <si>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</si>
  <si>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</si>
  <si>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</si>
  <si>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</si>
  <si>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</si>
  <si>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</si>
  <si>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</si>
  <si>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</si>
  <si>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</si>
  <si>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</si>
  <si>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</si>
  <si>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</si>
  <si>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</si>
  <si>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</si>
  <si>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</si>
  <si>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</si>
  <si>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</si>
  <si>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</si>
  <si>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</si>
  <si>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</si>
  <si>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</si>
  <si>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</si>
  <si>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</si>
  <si>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</si>
  <si>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</si>
  <si>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</si>
  <si>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</si>
  <si>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</si>
  <si>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</si>
  <si>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</si>
  <si>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</si>
  <si>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</si>
  <si>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</si>
  <si>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</si>
  <si>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</si>
  <si>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</si>
  <si>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</si>
  <si>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</si>
  <si>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</si>
  <si>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</si>
  <si>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</si>
  <si>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</si>
  <si>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</si>
  <si>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</si>
  <si>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</si>
  <si>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</si>
  <si>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</si>
  <si>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</si>
  <si>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</si>
  <si>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</si>
  <si>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</si>
  <si>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</si>
  <si>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</si>
  <si>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</si>
  <si>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</si>
  <si>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</si>
  <si>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</si>
  <si>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</si>
  <si>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</si>
  <si>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</si>
  <si>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</si>
  <si>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</si>
  <si>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</si>
  <si>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</si>
  <si>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</si>
  <si>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</si>
  <si>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</si>
  <si>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</si>
  <si>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</si>
  <si>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</si>
  <si>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</si>
  <si>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</si>
  <si>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</si>
  <si>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</si>
  <si>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</si>
  <si>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</si>
  <si>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</si>
  <si>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</si>
  <si>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</si>
  <si>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</si>
  <si>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</si>
  <si>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</si>
  <si>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</si>
  <si>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</si>
  <si>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</si>
  <si>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</si>
  <si>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</si>
  <si>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</si>
  <si>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</si>
  <si>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</si>
  <si>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</si>
  <si>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</si>
  <si>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</si>
  <si>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</si>
  <si>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</si>
  <si>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</si>
  <si>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</si>
  <si>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</si>
  <si>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</si>
  <si>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</si>
  <si>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</si>
  <si>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</si>
  <si>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</si>
  <si>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</si>
  <si>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</si>
  <si>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</si>
  <si>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</si>
  <si>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</si>
  <si>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</si>
  <si>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</si>
  <si>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</si>
  <si>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</si>
  <si>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</si>
  <si>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</si>
  <si>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</si>
  <si>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</si>
  <si>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</si>
  <si>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</si>
  <si>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</si>
  <si>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</si>
  <si>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</si>
  <si>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</si>
  <si>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</si>
  <si>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</si>
  <si>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</si>
  <si>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</si>
  <si>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</si>
  <si>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</si>
  <si>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</si>
  <si>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</si>
  <si>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</si>
  <si>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</si>
  <si>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</si>
  <si>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</si>
  <si>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</si>
  <si>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</si>
  <si>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</si>
  <si>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</si>
  <si>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</si>
  <si>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</si>
  <si>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</si>
  <si>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</si>
  <si>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</si>
  <si>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</si>
  <si>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</si>
  <si>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</si>
  <si>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</si>
  <si>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</si>
  <si>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</si>
  <si>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</si>
  <si>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</si>
  <si>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</si>
  <si>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</si>
  <si>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</si>
  <si>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</si>
  <si>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</si>
  <si>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</si>
  <si>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</si>
  <si>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</si>
  <si>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</si>
  <si>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</si>
  <si>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</si>
  <si>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</si>
  <si>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</si>
  <si>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</si>
  <si>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</si>
  <si>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</si>
  <si>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</si>
  <si>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</si>
  <si>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</si>
  <si>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</si>
  <si>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</si>
  <si>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</si>
  <si>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</si>
  <si>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</si>
  <si>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</si>
  <si>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</si>
  <si>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</si>
  <si>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</si>
  <si>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</si>
  <si>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</si>
  <si>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</si>
  <si>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</si>
  <si>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</si>
  <si>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</si>
  <si>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</si>
  <si>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</si>
  <si>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</si>
  <si>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</si>
  <si>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</si>
  <si>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</si>
  <si>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</si>
  <si>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</si>
  <si>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</si>
  <si>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</si>
  <si>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</si>
  <si>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</si>
  <si>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</si>
  <si>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</si>
  <si>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</si>
  <si>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</si>
  <si>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</si>
  <si>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</si>
  <si>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</si>
  <si>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</si>
  <si>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</si>
  <si>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</si>
  <si>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</si>
  <si>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</si>
  <si>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</si>
  <si>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</si>
  <si>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</si>
  <si>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</si>
  <si>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</si>
  <si>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</si>
  <si>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</si>
  <si>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</si>
  <si>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</si>
  <si>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</si>
  <si>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</si>
  <si>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</si>
  <si>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</si>
  <si>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</si>
  <si>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</si>
  <si>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</si>
  <si>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</si>
  <si>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</si>
  <si>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</si>
  <si>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</si>
  <si>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</si>
  <si>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</si>
  <si>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</si>
  <si>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</si>
  <si>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</si>
  <si>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</si>
  <si>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</si>
  <si>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</si>
  <si>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</si>
  <si>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</si>
  <si>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</si>
  <si>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</si>
  <si>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</si>
  <si>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</si>
  <si>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</si>
  <si>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</si>
  <si>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</si>
  <si>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</si>
  <si>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</si>
  <si>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</si>
  <si>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</si>
  <si>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</si>
  <si>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</si>
  <si>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</si>
  <si>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</si>
  <si>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</si>
  <si>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</si>
  <si>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</si>
  <si>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</si>
  <si>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</si>
  <si>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</si>
  <si>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</si>
  <si>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</si>
  <si>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</si>
  <si>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</si>
  <si>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</si>
  <si>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</si>
  <si>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</si>
  <si>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</si>
  <si>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</si>
  <si>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</si>
  <si>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</si>
  <si>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</si>
  <si>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</si>
  <si>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</si>
  <si>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</si>
  <si>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</si>
  <si>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</si>
  <si>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</si>
  <si>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</si>
  <si>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</si>
  <si>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</si>
  <si>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</si>
  <si>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</si>
  <si>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</si>
  <si>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</si>
  <si>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</si>
  <si>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</si>
  <si>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</si>
  <si>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</si>
  <si>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</si>
  <si>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</si>
  <si>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</si>
  <si>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</si>
  <si>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</si>
  <si>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</si>
  <si>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</si>
  <si>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</si>
  <si>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</si>
  <si>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</si>
  <si>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</si>
  <si>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</si>
  <si>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</si>
  <si>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</si>
  <si>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</si>
  <si>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</si>
  <si>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</si>
  <si>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</si>
  <si>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</si>
  <si>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</si>
  <si>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</si>
  <si>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</si>
  <si>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</si>
  <si>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</si>
  <si>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</si>
  <si>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</si>
  <si>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</si>
  <si>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</si>
  <si>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</si>
  <si>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</si>
  <si>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</si>
  <si>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</si>
  <si>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</si>
  <si>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</si>
  <si>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</si>
  <si>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</si>
  <si>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</si>
  <si>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</si>
  <si>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</si>
  <si>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</si>
  <si>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</si>
  <si>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</si>
  <si>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</si>
  <si>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</si>
  <si>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</si>
  <si>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</si>
  <si>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</si>
  <si>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</si>
  <si>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</si>
  <si>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</si>
  <si>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</si>
  <si>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</si>
  <si>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</si>
  <si>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</si>
  <si>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</si>
  <si>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</si>
  <si>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</si>
  <si>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</si>
  <si>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</si>
  <si>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</si>
  <si>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</si>
  <si>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</si>
  <si>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</si>
  <si>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</si>
  <si>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</si>
  <si>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</si>
  <si>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</si>
  <si>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</si>
  <si>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</si>
  <si>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</si>
  <si>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</si>
  <si>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</si>
  <si>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</si>
  <si>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</si>
  <si>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</si>
  <si>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</si>
  <si>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</si>
  <si>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</si>
  <si>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</si>
  <si>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</si>
  <si>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</si>
  <si>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</si>
  <si>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</si>
  <si>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</si>
  <si>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</si>
  <si>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</si>
  <si>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</si>
  <si>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</si>
  <si>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</si>
  <si>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</si>
  <si>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</si>
  <si>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</si>
  <si>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</si>
  <si>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</si>
  <si>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</si>
  <si>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</si>
  <si>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</si>
  <si>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</si>
  <si>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</si>
  <si>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</si>
  <si>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</si>
  <si>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</si>
  <si>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</si>
  <si>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</si>
  <si>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</si>
  <si>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</si>
  <si>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</si>
  <si>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</si>
  <si>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</si>
  <si>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</si>
  <si>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</si>
  <si>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</si>
  <si>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</si>
  <si>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</si>
  <si>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</si>
  <si>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</si>
  <si>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</si>
  <si>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</si>
  <si>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</si>
  <si>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</si>
  <si>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</si>
  <si>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</si>
  <si>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</si>
  <si>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</si>
  <si>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</si>
  <si>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</si>
  <si>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</si>
  <si>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</si>
  <si>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</si>
  <si>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</si>
  <si>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</si>
  <si>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</si>
  <si>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</si>
  <si>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</si>
  <si>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</si>
  <si>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</si>
  <si>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</si>
  <si>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</si>
  <si>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</si>
  <si>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</si>
  <si>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</si>
  <si>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</si>
  <si>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</si>
  <si>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</si>
  <si>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</si>
  <si>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</si>
  <si>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</si>
  <si>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</si>
  <si>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</si>
  <si>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</si>
  <si>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</si>
  <si>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</si>
  <si>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</si>
  <si>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</si>
  <si>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</si>
  <si>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</si>
  <si>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</si>
  <si>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</si>
  <si>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</si>
  <si>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</si>
  <si>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</si>
  <si>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</si>
  <si>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</si>
  <si>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</si>
  <si>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</si>
  <si>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</si>
  <si>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</si>
  <si>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</si>
  <si>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</si>
  <si>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</si>
  <si>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</si>
  <si>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</si>
  <si>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</si>
  <si>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</si>
  <si>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</si>
  <si>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</si>
  <si>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</si>
  <si>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</si>
  <si>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</si>
  <si>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</si>
  <si>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</si>
  <si>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</si>
  <si>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</si>
  <si>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</si>
  <si>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</si>
  <si>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</si>
  <si>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</si>
  <si>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</si>
  <si>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</si>
  <si>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</si>
  <si>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</si>
  <si>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</si>
  <si>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</si>
  <si>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</si>
  <si>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</si>
  <si>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</si>
  <si>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</si>
  <si>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</si>
  <si>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</si>
  <si>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</si>
  <si>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</si>
  <si>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</si>
  <si>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</si>
  <si>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</si>
  <si>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</si>
  <si>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</si>
  <si>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</si>
  <si>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</si>
  <si>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</si>
  <si>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</si>
  <si>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</si>
  <si>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</si>
  <si>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</si>
  <si>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</si>
  <si>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</si>
  <si>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</si>
  <si>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</si>
  <si>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</si>
  <si>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</si>
  <si>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</si>
  <si>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</si>
  <si>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</si>
  <si>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</si>
  <si>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</si>
  <si>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</si>
  <si>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</si>
  <si>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</si>
  <si>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</si>
  <si>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</si>
  <si>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</si>
  <si>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</si>
  <si>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</si>
  <si>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</si>
  <si>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</si>
  <si>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</si>
  <si>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</si>
  <si>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</si>
  <si>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</si>
  <si>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</si>
  <si>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</si>
  <si>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</si>
  <si>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</si>
  <si>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</si>
  <si>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</si>
  <si>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</si>
  <si>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</si>
  <si>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</si>
  <si>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</si>
  <si>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</si>
  <si>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</si>
  <si>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</si>
  <si>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</si>
  <si>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</si>
  <si>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</si>
  <si>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</si>
  <si>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</si>
  <si>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</si>
  <si>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</si>
  <si>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</si>
  <si>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</si>
  <si>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</si>
  <si>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</si>
  <si>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</si>
  <si>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</si>
  <si>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</si>
  <si>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</si>
  <si>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</si>
  <si>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</si>
  <si>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</si>
  <si>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</si>
  <si>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</si>
  <si>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</si>
  <si>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</si>
  <si>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</si>
  <si>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</si>
  <si>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</si>
  <si>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</si>
  <si>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</si>
  <si>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</si>
  <si>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</si>
  <si>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</si>
  <si>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</si>
  <si>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</si>
  <si>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</si>
  <si>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</si>
  <si>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</si>
  <si>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</si>
  <si>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</si>
  <si>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</si>
  <si>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</si>
  <si>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</si>
  <si>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</si>
  <si>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</si>
  <si>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</si>
  <si>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</si>
  <si>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</si>
  <si>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</si>
  <si>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</si>
  <si>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</si>
  <si>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</si>
  <si>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</si>
  <si>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</si>
  <si>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</si>
  <si>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</si>
  <si>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</si>
  <si>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</si>
  <si>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</si>
  <si>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</si>
  <si>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</si>
  <si>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</si>
  <si>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</si>
  <si>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</si>
  <si>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</si>
  <si>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</si>
  <si>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</si>
  <si>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</si>
  <si>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</si>
  <si>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</si>
  <si>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</si>
  <si>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</si>
  <si>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</si>
  <si>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</si>
  <si>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</si>
  <si>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</si>
  <si>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</si>
  <si>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</si>
  <si>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</si>
  <si>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</si>
  <si>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</si>
  <si>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</si>
  <si>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</si>
  <si>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</si>
  <si>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</si>
  <si>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</si>
  <si>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</si>
  <si>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</si>
  <si>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</si>
  <si>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</si>
  <si>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</si>
  <si>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</si>
  <si>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</si>
  <si>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</si>
  <si>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</si>
  <si>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</si>
  <si>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</si>
  <si>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</si>
  <si>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</si>
  <si>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</si>
  <si>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</si>
  <si>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</si>
  <si>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</si>
  <si>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</si>
  <si>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</si>
  <si>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</si>
  <si>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</si>
  <si>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</si>
  <si>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</si>
  <si>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</si>
  <si>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</si>
  <si>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</si>
  <si>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</si>
  <si>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</si>
  <si>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</si>
  <si>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</si>
  <si>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</si>
  <si>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</si>
  <si>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</si>
  <si>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</si>
  <si>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</si>
  <si>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</si>
  <si>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</si>
  <si>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</si>
  <si>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</si>
  <si>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</si>
  <si>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</si>
  <si>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</si>
  <si>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</si>
  <si>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</si>
  <si>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</si>
  <si>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</si>
  <si>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</si>
  <si>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</si>
  <si>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</si>
  <si>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</si>
  <si>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</si>
  <si>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</si>
  <si>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</si>
  <si>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</si>
  <si>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</si>
  <si>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</si>
  <si>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</si>
  <si>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</si>
  <si>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</si>
  <si>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</si>
  <si>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</si>
  <si>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</si>
  <si>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</si>
  <si>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</si>
  <si>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</si>
  <si>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</si>
  <si>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</si>
  <si>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</si>
  <si>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</si>
  <si>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</si>
  <si>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</si>
  <si>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</si>
  <si>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</si>
  <si>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</si>
  <si>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</si>
  <si>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</si>
  <si>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</si>
  <si>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</si>
  <si>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</si>
  <si>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</si>
  <si>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</si>
  <si>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</si>
  <si>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</si>
  <si>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</si>
  <si>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</si>
  <si>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</si>
  <si>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</si>
  <si>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</si>
  <si>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</si>
  <si>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</si>
  <si>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</si>
  <si>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</si>
  <si>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</si>
  <si>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</si>
  <si>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</si>
  <si>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</si>
  <si>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</si>
  <si>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</si>
  <si>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</si>
  <si>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</si>
  <si>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</si>
  <si>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</si>
  <si>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</si>
  <si>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</si>
  <si>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</si>
  <si>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</si>
  <si>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</si>
  <si>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</si>
  <si>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</si>
  <si>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</si>
  <si>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</si>
  <si>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</si>
  <si>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</si>
  <si>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</si>
  <si>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</si>
  <si>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</si>
  <si>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</si>
  <si>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</si>
  <si>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</si>
  <si>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</si>
  <si>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</si>
  <si>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</si>
  <si>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</si>
  <si>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</si>
  <si>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</si>
  <si>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</si>
  <si>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</si>
  <si>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</si>
  <si>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</si>
  <si>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</si>
  <si>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</si>
  <si>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</si>
  <si>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</si>
  <si>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</si>
  <si>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</si>
  <si>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</si>
  <si>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</si>
  <si>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</si>
  <si>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</si>
  <si>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</si>
  <si>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</si>
  <si>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</si>
  <si>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</si>
  <si>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</si>
  <si>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</si>
  <si>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</si>
  <si>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</si>
  <si>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</si>
  <si>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</si>
  <si>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</si>
  <si>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</si>
  <si>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</si>
  <si>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</si>
  <si>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</si>
  <si>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</si>
  <si>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</si>
  <si>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</si>
  <si>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</si>
  <si>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</si>
  <si>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</si>
  <si>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</si>
  <si>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</si>
  <si>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</si>
  <si>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</si>
  <si>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</si>
  <si>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</si>
  <si>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</si>
  <si>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</si>
  <si>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</si>
  <si>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</si>
  <si>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</si>
  <si>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</si>
  <si>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</si>
  <si>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</si>
  <si>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</si>
  <si>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</si>
  <si>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</si>
  <si>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</si>
  <si>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</si>
  <si>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</si>
  <si>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</si>
  <si>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</si>
  <si>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</si>
  <si>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</si>
  <si>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</si>
  <si>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</si>
  <si>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</si>
  <si>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</si>
  <si>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</si>
  <si>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</si>
  <si>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</si>
  <si>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</si>
  <si>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</si>
  <si>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</si>
  <si>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</si>
  <si>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</si>
  <si>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</si>
  <si>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</si>
  <si>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</si>
  <si>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</si>
  <si>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</si>
  <si>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</si>
  <si>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</si>
  <si>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</si>
  <si>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</si>
  <si>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</si>
  <si>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</si>
  <si>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</si>
  <si>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</si>
  <si>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</si>
  <si>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</si>
  <si>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</si>
  <si>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</si>
  <si>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</si>
  <si>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</si>
  <si>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</si>
  <si>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</si>
  <si>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</si>
  <si>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</si>
  <si>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</si>
  <si>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</si>
  <si>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</si>
  <si>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</si>
  <si>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</si>
  <si>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</si>
  <si>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</si>
  <si>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</si>
  <si>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</si>
  <si>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</si>
  <si>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</si>
  <si>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</si>
  <si>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</si>
  <si>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</si>
  <si>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</si>
  <si>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</si>
  <si>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</si>
  <si>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</si>
  <si>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</si>
  <si>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</si>
  <si>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</si>
  <si>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</si>
  <si>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</si>
  <si>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</si>
  <si>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</si>
  <si>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</si>
  <si>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</si>
  <si>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</si>
  <si>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</si>
  <si>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</si>
  <si>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</si>
  <si>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</si>
  <si>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</si>
  <si>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</si>
  <si>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</si>
  <si>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</si>
  <si>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</si>
  <si>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</si>
  <si>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</si>
  <si>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</si>
  <si>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</si>
  <si>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</si>
  <si>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</si>
  <si>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</si>
  <si>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Deslocamento para TGR (Podemos anexar no W50 em TOM para seguir a TGR)</t>
  </si>
  <si>
    <t>MC1 as 07:57h/ previsão de faixa para deslocamento até local de trabalho as 11:10h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</si>
  <si>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</si>
  <si>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</si>
  <si>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</si>
  <si>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</si>
  <si>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</si>
  <si>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</si>
  <si>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</si>
  <si>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</si>
  <si>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</si>
  <si>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ZRWTMI</t>
  </si>
  <si>
    <t>ZRW-TCS</t>
  </si>
  <si>
    <t>ZRWTCS</t>
  </si>
  <si>
    <t>MC1 as 07:57h licença as 08:07h/ em inspeção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</si>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</sst>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G357" activePane="bottomRight" state="frozen"/>
      <selection pane="bottomRight" activeCell="Q366" sqref="Q3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/>
      <c r="W353" s="173" t="s">
        <v>1778</v>
      </c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/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1900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/>
      <c r="AS355" s="240"/>
      <c r="AT355" s="240"/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1901</v>
      </c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1902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1903</v>
      </c>
      <c r="X356" s="216" t="s">
        <v>965</v>
      </c>
      <c r="Y356" s="158"/>
      <c r="Z356" s="158"/>
      <c r="AA356" s="83" t="s">
        <v>1904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1905</v>
      </c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1906</v>
      </c>
      <c r="W357" s="343" t="s">
        <v>1907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1908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1909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1</v>
      </c>
      <c r="BI358" s="16"/>
      <c r="BJ358" s="16" t="s">
        <v>1910</v>
      </c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1911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1912</v>
      </c>
      <c r="N359" s="202" t="s">
        <v>1913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1914</v>
      </c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1915</v>
      </c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/>
      </c>
    </row>
    <row r="361" spans="1:72">
      <c r="A361" s="50"/>
      <c r="B361" s="171"/>
      <c r="C361" s="8"/>
      <c r="D361" s="51"/>
      <c r="E361" s="311"/>
      <c r="F361" s="172"/>
      <c r="G361" s="9"/>
      <c r="H361" s="173"/>
      <c r="I361" s="173"/>
      <c r="J361" s="215"/>
      <c r="K361" s="215"/>
      <c r="L361" s="83"/>
      <c r="M361" s="202"/>
      <c r="N361" s="202"/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>
      <c r="A365" s="50" t="str">
        <f>D365&amp;B365</f>
        <v>A8046021</v>
      </c>
      <c r="B365" s="171">
        <v>46021</v>
      </c>
      <c r="C365" s="8">
        <f>IF(BS_CONTROLE[[#This Row],[DATA]]="","",WEEKNUM(BS_CONTROLE[[#This Row],[DATA]]))</f>
        <v>53</v>
      </c>
      <c r="D365" s="51" t="s">
        <v>734</v>
      </c>
      <c r="E365" s="310">
        <v>345</v>
      </c>
      <c r="F365" s="172" t="s">
        <v>630</v>
      </c>
      <c r="G365" s="9" t="str">
        <f>IF(D365="","*",VLOOKUP(F365,BS_ATIVIDADE[#All],3,FALSE))</f>
        <v>DETECÇÃO</v>
      </c>
      <c r="H365" s="173" t="s">
        <v>47</v>
      </c>
      <c r="I365" s="173" t="s">
        <v>78</v>
      </c>
      <c r="J365" s="215">
        <v>98</v>
      </c>
      <c r="K365" s="215">
        <v>616</v>
      </c>
      <c r="L365" s="83">
        <v>754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5" s="173">
        <v>0.33333333333333331</v>
      </c>
      <c r="P365" s="173">
        <v>4.1666666666666664E-2</v>
      </c>
      <c r="Q365" s="83">
        <v>130</v>
      </c>
      <c r="R365" s="10" t="str">
        <f>IFERROR(_xlfn.XLOOKUP(F365, BS_ATIVIDADE[ATIVIDADE],BS_ATIVIDADE[UNIDADE] ), "*")</f>
        <v>KM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5" s="80" t="str">
        <f>IFERROR(_xlfn.XLOOKUP(J365, BASE_MAPA!$D$2:$D$359, BASE_MAPA!$I$2:$I$359), "ERRO")</f>
        <v>ALTO ARAGUAIA - RONDONOPOLIS</v>
      </c>
      <c r="V365" s="196" t="s">
        <v>1573</v>
      </c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DETECÇÃO - RONDA 7 DIAS</v>
      </c>
      <c r="AJ365" s="9" t="str">
        <f>IF(D365="","*",VLOOKUP(AI365,BS_ATIVIDADE[#Data],3,FALSE))</f>
        <v>DETECÇÃO</v>
      </c>
      <c r="AK365" s="276" t="str">
        <f>IF(BS_CONTROLE[[#This Row],[Local - Partida]]=0, "-", BS_CONTROLE[[#This Row],[Local - Partida]])</f>
        <v>TIQ</v>
      </c>
      <c r="AL365" s="276" t="str">
        <f>IF(BS_CONTROLE[[#This Row],[Local - Encerramento]]=0, "-", BS_CONTROLE[[#This Row],[Local - Encerramento]])</f>
        <v>TRO</v>
      </c>
      <c r="AM365" s="276" t="str">
        <f>IF(BS_CONTROLE[[#This Row],[Entre - Estações]]=0, "-", BS_CONTROLE[[#This Row],[Entre - Estações]])</f>
        <v>TIQ</v>
      </c>
      <c r="AN365" s="276" t="str">
        <f>IF(BS_CONTROLE[[#This Row],[SB]]=0, "-", BS_CONTROLE[[#This Row],[SB]])</f>
        <v>TIQ1</v>
      </c>
      <c r="AO365" s="277">
        <f>IF(BS_CONTROLE[[#This Row],[SUB]]=0, "-", BS_CONTROLE[[#This Row],[SUB]])</f>
        <v>98</v>
      </c>
      <c r="AP365" s="278">
        <f>IF(BS_CONTROLE[[#This Row],[KM - Inicio]]=0, "-", BS_CONTROLE[[#This Row],[KM - Inicio]])</f>
        <v>616</v>
      </c>
      <c r="AQ365" s="278">
        <f>IF(BS_CONTROLE[[#This Row],[KM - Fim]]=0, "-", BS_CONTROLE[[#This Row],[KM - Fim]])</f>
        <v>754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KM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5" s="11" t="str">
        <f>IFERROR(_xlfn.XLOOKUP(AO365, BASE_MAPA!$D$2:$D$359, BASE_MAPA!$I$2:$I$359), "ERRO")</f>
        <v>ALTO ARAGUAIA - RONDONOPOLIS</v>
      </c>
      <c r="BF365" s="279" t="str">
        <f>IF(BS_CONTROLE[[#This Row],[Responsavel pelo boletim]]=0, "-", BS_CONTROLE[[#This Row],[Responsavel pelo boletim]])</f>
        <v>Heldo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>
        <v>200</v>
      </c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/>
      <c r="P371" s="173"/>
      <c r="Q371" s="83"/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e">
        <f>IF(AND(BR371&lt;1,BS371&lt;1),"Produção e Intervalo",IF(BR371&lt;1,"Intervalo",IF(BS371&lt;1,"Produção","Aderente")))</f>
        <v>#DIV/0!</v>
      </c>
      <c r="BR371" s="18" t="e">
        <f>IF(OR(B371="",F371=""),"*",AY371/P371)</f>
        <v>#DIV/0!</v>
      </c>
      <c r="BS371" s="18" t="e">
        <f>IF(OR(B371="",F371=""),"*",BA371/Q371)</f>
        <v>#DIV/0!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5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09">
      <formula>$BU6=1</formula>
    </cfRule>
  </conditionalFormatting>
  <conditionalFormatting sqref="BQ235 BQ246:BQ247 BQ6:BQ232 BQ249:BQ251 BQ258:BQ260 BQ267:BQ268 BQ280:BQ600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3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6:X523">
    <cfRule type="cellIs" dxfId="3822" priority="23349" operator="equal">
      <formula>"OPORTUNIDADE"</formula>
    </cfRule>
  </conditionalFormatting>
  <conditionalFormatting sqref="Z476:Z523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6:Z523">
    <cfRule type="cellIs" dxfId="3819" priority="23346" operator="equal">
      <formula>"OPORTUNIDADE"</formula>
    </cfRule>
  </conditionalFormatting>
  <conditionalFormatting sqref="Y1048576">
    <cfRule type="cellIs" dxfId="3818" priority="23231" operator="equal">
      <formula>"OPORTUNIDADE"</formula>
    </cfRule>
  </conditionalFormatting>
  <conditionalFormatting sqref="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4:Z549">
    <cfRule type="cellIs" dxfId="3815" priority="22966" operator="equal">
      <formula>"OPORTUNIDADE"</formula>
    </cfRule>
  </conditionalFormatting>
  <conditionalFormatting sqref="Z524:Z549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50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50">
    <cfRule type="cellIs" dxfId="3810" priority="22951" operator="equal">
      <formula>"OPORTUNIDADE"</formula>
    </cfRule>
  </conditionalFormatting>
  <conditionalFormatting sqref="Z550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50">
    <cfRule type="cellIs" dxfId="3807" priority="22948" operator="equal">
      <formula>"OPORTUNIDADE"</formula>
    </cfRule>
  </conditionalFormatting>
  <conditionalFormatting sqref="BI55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8">
      <formula>$BU493=1</formula>
    </cfRule>
  </conditionalFormatting>
  <conditionalFormatting sqref="AZ526:AZ550">
    <cfRule type="expression" dxfId="3805" priority="23728">
      <formula>$BU498=1</formula>
    </cfRule>
  </conditionalFormatting>
  <conditionalFormatting sqref="BI524:BI549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600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1916</v>
      </c>
      <c r="D5" s="388"/>
      <c r="E5" s="388"/>
      <c r="F5" s="388"/>
      <c r="G5" s="388"/>
      <c r="H5" s="388"/>
      <c r="I5" s="388"/>
      <c r="J5" s="389"/>
      <c r="K5" s="390" t="s">
        <v>1917</v>
      </c>
      <c r="L5" s="391"/>
      <c r="M5" s="391"/>
      <c r="N5" s="391"/>
      <c r="O5" s="392" t="s">
        <v>1918</v>
      </c>
      <c r="P5" s="393"/>
      <c r="Q5" s="394"/>
    </row>
    <row r="6" spans="1:17" s="93" customFormat="1" ht="15.75" customHeight="1">
      <c r="A6" s="87" t="s">
        <v>1919</v>
      </c>
      <c r="B6" s="94" t="s">
        <v>1920</v>
      </c>
      <c r="C6" s="95" t="s">
        <v>1172</v>
      </c>
      <c r="D6" s="96" t="s">
        <v>1173</v>
      </c>
      <c r="E6" s="95" t="s">
        <v>1921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1922</v>
      </c>
      <c r="M6" s="139" t="s">
        <v>627</v>
      </c>
      <c r="N6" s="140" t="s">
        <v>1167</v>
      </c>
      <c r="O6" s="244" t="s">
        <v>1210</v>
      </c>
      <c r="P6" s="157"/>
      <c r="Q6" s="192" t="s">
        <v>1923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*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*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*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1923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1924</v>
      </c>
      <c r="W1" s="400"/>
      <c r="X1" s="400"/>
      <c r="Y1" s="104"/>
    </row>
    <row r="2" spans="1:25" s="100" customFormat="1" ht="11.25" customHeight="1">
      <c r="A2" s="105" t="s">
        <v>1925</v>
      </c>
      <c r="B2" s="105" t="s">
        <v>1920</v>
      </c>
      <c r="C2" s="105" t="s">
        <v>603</v>
      </c>
      <c r="D2" s="106" t="s">
        <v>1172</v>
      </c>
      <c r="E2" s="106" t="s">
        <v>1173</v>
      </c>
      <c r="F2" s="106" t="s">
        <v>1919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1926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*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*</v>
      </c>
      <c r="L359" s="110" t="str">
        <f>IF(FN_MC!N361="","*",FN_MC!N361)</f>
        <v>*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TGR-TRO</v>
      </c>
      <c r="F363" s="110">
        <f>IF(FN_MC!B365="","*",FN_MC!B365)</f>
        <v>46021</v>
      </c>
      <c r="G363" s="110" t="str">
        <f>IF(FN_MC!D365="","*",FN_MC!D365)</f>
        <v>A80</v>
      </c>
      <c r="H363" s="110" t="str">
        <f>IF(FN_MC!F365="","*",FN_MC!F365)</f>
        <v>DETECÇÃO - RONDA 7 DIAS</v>
      </c>
      <c r="I363" s="110" t="str">
        <f>IF(FN_MC!H365="","*",FN_MC!H365)</f>
        <v>TIQ</v>
      </c>
      <c r="J363" s="110" t="str">
        <f>IF(FN_MC!I365="","*",FN_MC!I365)</f>
        <v>TRO</v>
      </c>
      <c r="K363" s="110" t="str">
        <f>IF(FN_MC!M365="","*",FN_MC!M365)</f>
        <v>TIQ</v>
      </c>
      <c r="L363" s="110" t="str">
        <f>IF(FN_MC!N365="","*",FN_MC!N365)</f>
        <v>TIQ1</v>
      </c>
      <c r="M363" s="111">
        <f>IF(FN_MC!J365="","*",FN_MC!J365)</f>
        <v>98</v>
      </c>
      <c r="N363" s="288">
        <f>IF(FN_MC!K365="","*",FN_MC!K365)</f>
        <v>616</v>
      </c>
      <c r="O363" s="288">
        <f>IF(FN_MC!L365="","*",FN_MC!L365)</f>
        <v>754</v>
      </c>
      <c r="P363" s="111"/>
      <c r="Q363" s="128">
        <f>IF(FN_MC!O365="","*",FN_MC!O365)</f>
        <v>0.33333333333333331</v>
      </c>
      <c r="R363" s="128">
        <f>IF(FN_MC!P365="","*",FN_MC!P365)</f>
        <v>4.1666666666666664E-2</v>
      </c>
      <c r="S363" s="110" t="str">
        <f>IF(FN_MC!Q365="","*",CONCATENATE(FN_MC!Q365," ",FN_MC!R365))</f>
        <v>130 KM</v>
      </c>
      <c r="T363" s="110" t="str">
        <f>IF(FN_MC!V365="","*",FN_MC!V365)</f>
        <v>Heldo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180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1927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1928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1929</v>
      </c>
      <c r="C4" s="318" t="s">
        <v>1930</v>
      </c>
      <c r="D4" s="318" t="s">
        <v>1931</v>
      </c>
      <c r="E4" s="318" t="s">
        <v>1932</v>
      </c>
      <c r="F4" s="318" t="s">
        <v>6</v>
      </c>
      <c r="G4" s="318" t="s">
        <v>1933</v>
      </c>
      <c r="H4" s="191"/>
    </row>
    <row r="5" spans="1:8">
      <c r="A5" s="191"/>
      <c r="B5" s="319" t="s">
        <v>1934</v>
      </c>
      <c r="C5" s="319">
        <v>309525</v>
      </c>
      <c r="D5" s="319" t="s">
        <v>1935</v>
      </c>
      <c r="E5" s="319" t="s">
        <v>845</v>
      </c>
      <c r="F5" s="319" t="s">
        <v>1936</v>
      </c>
      <c r="G5" s="320">
        <v>46296</v>
      </c>
      <c r="H5" s="191"/>
    </row>
    <row r="6" spans="1:8">
      <c r="A6" s="191"/>
      <c r="B6" s="319" t="s">
        <v>1937</v>
      </c>
      <c r="C6" s="319">
        <v>256875</v>
      </c>
      <c r="D6" s="319" t="s">
        <v>1938</v>
      </c>
      <c r="E6" s="319" t="s">
        <v>845</v>
      </c>
      <c r="F6" s="319" t="s">
        <v>1936</v>
      </c>
      <c r="G6" s="320">
        <v>46296</v>
      </c>
      <c r="H6" s="191"/>
    </row>
    <row r="7" spans="1:8">
      <c r="A7" s="191"/>
      <c r="B7" s="319" t="s">
        <v>1939</v>
      </c>
      <c r="C7" s="319">
        <v>257278</v>
      </c>
      <c r="D7" s="319" t="s">
        <v>1940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1941</v>
      </c>
      <c r="C8" s="319">
        <v>261794</v>
      </c>
      <c r="D8" s="319" t="s">
        <v>1942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1943</v>
      </c>
      <c r="C9" s="319">
        <v>257033</v>
      </c>
      <c r="D9" s="319" t="s">
        <v>1944</v>
      </c>
      <c r="E9" s="319" t="s">
        <v>836</v>
      </c>
      <c r="F9" s="319" t="s">
        <v>192</v>
      </c>
      <c r="G9" s="319" t="s">
        <v>1945</v>
      </c>
      <c r="H9" s="191"/>
    </row>
    <row r="10" spans="1:8">
      <c r="A10" s="191"/>
      <c r="B10" s="319" t="s">
        <v>1946</v>
      </c>
      <c r="C10" s="319">
        <v>396578</v>
      </c>
      <c r="D10" s="319" t="s">
        <v>1947</v>
      </c>
      <c r="E10" s="319" t="s">
        <v>836</v>
      </c>
      <c r="F10" s="319" t="s">
        <v>192</v>
      </c>
      <c r="G10" s="319" t="s">
        <v>1945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1948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1949</v>
      </c>
      <c r="E3" s="315" t="s">
        <v>1950</v>
      </c>
      <c r="F3" s="315" t="s">
        <v>1951</v>
      </c>
      <c r="G3" s="315" t="s">
        <v>1952</v>
      </c>
      <c r="H3" s="315" t="s">
        <v>1953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1954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1955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1956</v>
      </c>
      <c r="C2" s="95" t="s">
        <v>1158</v>
      </c>
      <c r="D2" s="95" t="s">
        <v>596</v>
      </c>
      <c r="E2" s="95" t="s">
        <v>1957</v>
      </c>
      <c r="F2" s="95" t="s">
        <v>1958</v>
      </c>
      <c r="G2" s="95" t="s">
        <v>1959</v>
      </c>
      <c r="H2" s="95" t="s">
        <v>1960</v>
      </c>
      <c r="I2" s="95" t="s">
        <v>1961</v>
      </c>
      <c r="J2" s="95" t="s">
        <v>1962</v>
      </c>
      <c r="K2" s="131" t="s">
        <v>1963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*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A80</v>
      </c>
      <c r="E363" s="121" t="str">
        <f>IF(FN_MC!H365="","*",FN_MC!H365)</f>
        <v>TIQ</v>
      </c>
      <c r="F363" s="137" t="str">
        <f>IF(FN_MC!M365="","*",FN_MC!M365)</f>
        <v>TIQ</v>
      </c>
      <c r="G363" s="121" t="str">
        <f>IF(FN_MC!I365="","*",FN_MC!I365)</f>
        <v>TRO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2025-12-29T15:01:58Z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