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966" documentId="8_{B6337239-1A00-434D-AAD0-422EA1FEB5AE}" xr6:coauthVersionLast="47" xr6:coauthVersionMax="47" xr10:uidLastSave="{3F0A8FFF-0585-403C-B394-87907E024F6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2" i="1" l="1" a="1"/>
  <c r="H72" i="1" s="1"/>
  <c r="H70" i="1" a="1"/>
  <c r="H70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8" i="1"/>
  <c r="U70" i="1"/>
  <c r="U71" i="1"/>
  <c r="U72" i="1"/>
  <c r="U73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N64" i="1" a="1"/>
  <c r="N64" i="1"/>
  <c r="L68" i="16" s="1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N65" i="1" a="1"/>
  <c r="N65" i="1"/>
  <c r="L69" i="16" s="1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N66" i="1" a="1"/>
  <c r="N66" i="1"/>
  <c r="L70" i="16" s="1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K71" i="16"/>
  <c r="L71" i="16"/>
  <c r="D71" i="16"/>
  <c r="E71" i="16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N68" i="1" a="1"/>
  <c r="N68" i="1"/>
  <c r="L72" i="16" s="1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3" i="16"/>
  <c r="L73" i="16"/>
  <c r="D73" i="16"/>
  <c r="E73" i="16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R74" i="16" s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R76" i="16" s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K78" i="16"/>
  <c r="L78" i="16"/>
  <c r="D78" i="16"/>
  <c r="E78" i="16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K80" i="16"/>
  <c r="L80" i="16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L109" i="11" s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L606" i="11" s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N158" i="11" s="1"/>
  <c r="AM151" i="1"/>
  <c r="N157" i="11" s="1"/>
  <c r="AM150" i="1"/>
  <c r="L156" i="11" s="1"/>
  <c r="AM149" i="1"/>
  <c r="L155" i="11" s="1"/>
  <c r="AM148" i="1"/>
  <c r="L154" i="11" s="1"/>
  <c r="AM147" i="1"/>
  <c r="L153" i="11" s="1"/>
  <c r="AM146" i="1"/>
  <c r="AM145" i="1"/>
  <c r="AM144" i="1"/>
  <c r="L150" i="11" s="1"/>
  <c r="AM143" i="1"/>
  <c r="N149" i="11" s="1"/>
  <c r="AM142" i="1"/>
  <c r="N148" i="11" s="1"/>
  <c r="AM141" i="1"/>
  <c r="L147" i="11" s="1"/>
  <c r="AM140" i="1"/>
  <c r="L146" i="11" s="1"/>
  <c r="AM139" i="1"/>
  <c r="L145" i="11" s="1"/>
  <c r="AM138" i="1"/>
  <c r="L144" i="11" s="1"/>
  <c r="AM137" i="1"/>
  <c r="AM136" i="1"/>
  <c r="AM135" i="1"/>
  <c r="L141" i="11" s="1"/>
  <c r="AM134" i="1"/>
  <c r="N140" i="11" s="1"/>
  <c r="AM133" i="1"/>
  <c r="N139" i="11" s="1"/>
  <c r="AM132" i="1"/>
  <c r="L138" i="11" s="1"/>
  <c r="AM131" i="1"/>
  <c r="L137" i="11" s="1"/>
  <c r="AM130" i="1"/>
  <c r="L136" i="11" s="1"/>
  <c r="AM129" i="1"/>
  <c r="L135" i="11" s="1"/>
  <c r="AM128" i="1"/>
  <c r="AM127" i="1"/>
  <c r="AM126" i="1"/>
  <c r="L132" i="11" s="1"/>
  <c r="AM125" i="1"/>
  <c r="N131" i="11" s="1"/>
  <c r="AM124" i="1"/>
  <c r="N130" i="11" s="1"/>
  <c r="AM123" i="1"/>
  <c r="L129" i="11" s="1"/>
  <c r="AM122" i="1"/>
  <c r="L128" i="11" s="1"/>
  <c r="AM121" i="1"/>
  <c r="L127" i="11" s="1"/>
  <c r="AM120" i="1"/>
  <c r="L126" i="11" s="1"/>
  <c r="AM119" i="1"/>
  <c r="AM118" i="1"/>
  <c r="AM117" i="1"/>
  <c r="L123" i="11" s="1"/>
  <c r="AM116" i="1"/>
  <c r="N122" i="11" s="1"/>
  <c r="AM115" i="1"/>
  <c r="N121" i="11" s="1"/>
  <c r="AM114" i="1"/>
  <c r="L120" i="11" s="1"/>
  <c r="AM113" i="1"/>
  <c r="L119" i="11" s="1"/>
  <c r="AM112" i="1"/>
  <c r="L118" i="11" s="1"/>
  <c r="AM111" i="1"/>
  <c r="L117" i="11" s="1"/>
  <c r="AM110" i="1"/>
  <c r="AM108" i="1"/>
  <c r="N114" i="11" s="1"/>
  <c r="AM107" i="1"/>
  <c r="L113" i="11" s="1"/>
  <c r="AM105" i="1"/>
  <c r="L111" i="11" s="1"/>
  <c r="AM104" i="1"/>
  <c r="L110" i="11" s="1"/>
  <c r="AM102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<sst xmlns="http://schemas.openxmlformats.org/spreadsheetml/2006/main" count="4842" uniqueCount="1446">
  <si>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</si>
  <si>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</si>
  <si>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</si>
  <si>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</si>
  <si>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</si>
  <si>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</si>
  <si>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</si>
  <si>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</si>
  <si>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</si>
  <si>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</si>
  <si>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</si>
  <si>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</si>
  <si>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</si>
  <si>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</si>
  <si>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</si>
  <si>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</si>
  <si>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</si>
  <si>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</si>
  <si>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</si>
  <si>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</si>
  <si>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</si>
  <si>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</si>
  <si>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</si>
  <si>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</si>
  <si>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</si>
  <si>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</si>
  <si>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</si>
  <si>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</si>
  <si>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</si>
  <si>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</si>
  <si>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</si>
  <si>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</si>
  <si>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</si>
  <si>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</si>
  <si>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</si>
  <si>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</si>
  <si>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</si>
  <si>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</si>
  <si>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</si>
  <si>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</si>
  <si>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</si>
  <si>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</si>
  <si>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</si>
  <si>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</si>
  <si>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</si>
  <si>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</si>
  <si>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</si>
  <si>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</si>
  <si>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</si>
  <si>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</si>
  <si>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</si>
  <si>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</si>
  <si>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</si>
  <si>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</si>
  <si>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</si>
  <si>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</si>
  <si>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</si>
  <si>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</si>
  <si>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</si>
  <si>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</si>
  <si>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</si>
  <si>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</si>
  <si>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</si>
  <si>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</si>
  <si>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</si>
  <si>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</si>
  <si>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</si>
  <si>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</si>
  <si>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</si>
  <si>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</si>
  <si>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</si>
  <si>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</si>
  <si>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</si>
  <si>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</si>
  <si>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</si>
  <si>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</si>
  <si>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</si>
  <si>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</si>
  <si>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</si>
  <si>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</si>
  <si>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</si>
  <si>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</si>
  <si>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</si>
  <si>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</si>
  <si>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</si>
  <si>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</si>
  <si>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</si>
  <si>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</si>
  <si>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</si>
  <si>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</si>
  <si>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</si>
  <si>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</si>
  <si>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</si>
  <si>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</si>
  <si>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</si>
  <si>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</si>
  <si>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</si>
  <si>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</si>
  <si>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</si>
  <si>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</si>
  <si>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</si>
  <si>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</si>
  <si>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</si>
  <si>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</si>
  <si>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</si>
  <si>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</si>
  <si>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</si>
  <si>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</si>
  <si>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</si>
  <si>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</si>
  <si>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</si>
  <si>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</si>
  <si>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</si>
  <si>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</si>
  <si>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</si>
  <si>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</si>
  <si>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</si>
  <si>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</si>
  <si>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</si>
  <si>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</si>
  <si>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</si>
  <si>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</si>
  <si>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</si>
  <si>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</si>
  <si>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</si>
  <si>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</si>
  <si>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</si>
  <si>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</si>
  <si>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</si>
  <si>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</si>
  <si>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</si>
  <si>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</si>
  <si>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</si>
  <si>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</si>
  <si>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</si>
  <si>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</si>
  <si>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</si>
  <si>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</si>
  <si>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</si>
  <si>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</si>
  <si>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</si>
  <si>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</si>
  <si>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</si>
  <si>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</si>
  <si>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</si>
  <si>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</si>
  <si>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</si>
  <si>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</si>
  <si>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</si>
  <si>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</si>
  <si>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</si>
  <si>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</si>
  <si>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</si>
  <si>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</si>
  <si>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</si>
  <si>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</si>
  <si>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</si>
  <si>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</si>
  <si>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</si>
  <si>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</si>
  <si>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</si>
  <si>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</si>
  <si>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</si>
  <si>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</si>
  <si>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</si>
  <si>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</si>
  <si>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</si>
  <si>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</si>
  <si>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</si>
  <si>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</si>
  <si>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</si>
  <si>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</si>
  <si>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</si>
  <si>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</si>
  <si>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</si>
  <si>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</si>
  <si>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</si>
  <si>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</si>
  <si>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</si>
  <si>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</si>
  <si>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</si>
  <si>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</si>
  <si>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</si>
  <si>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</si>
  <si>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</si>
  <si>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</si>
  <si>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</si>
  <si>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</si>
  <si>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</si>
  <si>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</si>
  <si>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</si>
  <si>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</si>
  <si>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</si>
  <si>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</si>
  <si>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</si>
  <si>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</si>
  <si>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</si>
  <si>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</si>
  <si>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</si>
  <si>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</si>
  <si>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</si>
  <si>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</si>
  <si>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</si>
  <si>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</si>
  <si>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</si>
  <si>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</si>
  <si>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</si>
  <si>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</si>
  <si>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</si>
  <si>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</si>
  <si>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</si>
  <si>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</si>
  <si>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</si>
  <si>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</si>
  <si>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</si>
  <si>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</si>
  <si>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</si>
  <si>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</si>
  <si>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</si>
  <si>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</si>
  <si>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</si>
  <si>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</si>
  <si>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</si>
  <si>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</si>
  <si>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</si>
  <si>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</si>
  <si>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</si>
  <si>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</si>
  <si>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</si>
  <si>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</si>
  <si>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</si>
  <si>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</si>
  <si>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</si>
  <si>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</si>
  <si>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</si>
  <si>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</si>
  <si>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</si>
  <si>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</si>
  <si>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</si>
  <si>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</si>
  <si>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</si>
  <si>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</si>
  <si>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</si>
  <si>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</si>
  <si>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</si>
  <si>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</si>
  <si>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</si>
  <si>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</si>
  <si>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</si>
  <si>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</si>
  <si>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</si>
  <si>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</si>
  <si>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</si>
  <si>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</si>
  <si>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</si>
  <si>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</si>
  <si>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</si>
  <si>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</si>
  <si>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</si>
  <si>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</si>
  <si>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</si>
  <si>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</si>
  <si>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</si>
  <si>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</si>
  <si>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</si>
  <si>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</si>
  <si>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</si>
  <si>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</si>
  <si>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</si>
  <si>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</si>
  <si>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</si>
  <si>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</si>
  <si>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</si>
  <si>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</si>
  <si>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</si>
  <si>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</si>
  <si>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</si>
  <si>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</si>
  <si>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</si>
  <si>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</si>
  <si>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</si>
  <si>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</si>
  <si>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</si>
  <si>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</si>
  <si>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</si>
  <si>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</si>
  <si>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</si>
  <si>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</si>
  <si>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</si>
  <si>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</si>
  <si>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</si>
  <si>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</si>
  <si>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</si>
  <si>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</si>
  <si>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</si>
  <si>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</si>
  <si>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</si>
  <si>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</si>
  <si>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</si>
  <si>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</si>
  <si>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</si>
  <si>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</si>
  <si>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</si>
  <si>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</si>
  <si>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</si>
  <si>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</si>
  <si>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</si>
  <si>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</si>
  <si>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</si>
  <si>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</si>
  <si>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</si>
  <si>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</si>
  <si>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</si>
  <si>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</si>
  <si>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</si>
  <si>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</si>
  <si>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</si>
  <si>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</si>
  <si>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</si>
  <si>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</si>
  <si>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</si>
  <si>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</si>
  <si>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</si>
  <si>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</si>
  <si>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</si>
  <si>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</si>
  <si>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</si>
  <si>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</si>
  <si>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</si>
  <si>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</si>
  <si>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</si>
  <si>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</si>
  <si>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</si>
  <si>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</si>
  <si>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</si>
  <si>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</si>
  <si>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</si>
  <si>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</si>
  <si>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</si>
  <si>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</si>
  <si>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</si>
  <si>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</si>
  <si>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</si>
  <si>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</si>
  <si>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</si>
  <si>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</si>
  <si>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</si>
  <si>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</si>
  <si>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</si>
  <si>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</si>
  <si>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</si>
  <si>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</si>
  <si>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</si>
  <si>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</si>
  <si>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</si>
  <si>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</si>
  <si>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</si>
  <si>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</si>
  <si>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</si>
  <si>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</si>
  <si>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</si>
  <si>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</si>
  <si>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</si>
  <si>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</si>
  <si>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</si>
  <si>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</si>
  <si>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</si>
  <si>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</si>
  <si>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</si>
  <si>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</si>
  <si>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</si>
  <si>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</si>
  <si>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</si>
  <si>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</si>
  <si>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</si>
  <si>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</si>
  <si>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</si>
  <si>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</si>
  <si>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</si>
  <si>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</si>
  <si>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</si>
  <si>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</si>
  <si>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</si>
  <si>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</si>
  <si>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</si>
  <si>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</si>
  <si>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</si>
  <si>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</si>
  <si>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</si>
  <si>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</si>
  <si>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</si>
  <si>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</si>
  <si>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</si>
  <si>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</si>
  <si>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</si>
  <si>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</si>
  <si>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</si>
  <si>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</si>
  <si>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</si>
  <si>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</si>
  <si>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</si>
  <si>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</si>
  <si>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</si>
  <si>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</si>
  <si>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</si>
  <si>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</si>
  <si>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</si>
  <si>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</si>
  <si>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</si>
  <si>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</si>
  <si>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</si>
  <si>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</si>
  <si>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</si>
  <si>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</si>
  <si>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</si>
  <si>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</si>
  <si>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</si>
  <si>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</si>
  <si>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</si>
  <si>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</si>
  <si>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</si>
  <si>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</si>
  <si>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</si>
  <si>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</si>
  <si>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</si>
  <si>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</si>
  <si>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</si>
  <si>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</si>
  <si>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</si>
  <si>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</si>
  <si>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</si>
  <si>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</si>
  <si>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</si>
  <si>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</si>
  <si>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</si>
  <si>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</si>
  <si>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</si>
  <si>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</si>
  <si>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</si>
  <si>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</si>
  <si>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</si>
  <si>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</si>
  <si>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</si>
  <si>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</si>
  <si>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</si>
  <si>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</si>
  <si>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</si>
  <si>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</si>
  <si>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</si>
  <si>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</si>
  <si>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</si>
  <si>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</si>
  <si>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</si>
  <si>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</si>
  <si>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</si>
  <si>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</si>
  <si>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</si>
  <si>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</si>
  <si>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</si>
  <si>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</si>
  <si>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</si>
  <si>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</si>
  <si>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</si>
  <si>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</si>
  <si>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</si>
  <si>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</si>
  <si>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</si>
  <si>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</si>
  <si>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</si>
  <si>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</si>
  <si>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</si>
  <si>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</si>
  <si>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</si>
  <si>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</si>
  <si>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</si>
  <si>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</si>
  <si>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</si>
  <si>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</si>
  <si>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</si>
  <si>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</si>
  <si>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</si>
  <si>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</si>
  <si>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</si>
  <si>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</si>
  <si>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</si>
  <si>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</si>
  <si>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</si>
  <si>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</si>
  <si>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</si>
  <si>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</si>
  <si>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</si>
  <si>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</si>
  <si>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</si>
  <si>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</si>
  <si>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</si>
  <si>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</si>
  <si>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</si>
  <si>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</si>
  <si>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</si>
  <si>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</si>
  <si>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</si>
  <si>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</si>
  <si>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</si>
  <si>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</si>
  <si>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</si>
  <si>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</si>
  <si>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</si>
  <si>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</si>
  <si>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</si>
  <si>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</si>
  <si>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</si>
  <si>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</si>
  <si>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</si>
  <si>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</si>
  <si>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</si>
  <si>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</si>
  <si>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</si>
  <si>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</si>
  <si>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</si>
  <si>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</si>
  <si>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</si>
  <si>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</si>
  <si>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</si>
  <si>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</si>
  <si>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</si>
  <si>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</si>
  <si>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</si>
  <si>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</si>
  <si>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</si>
  <si>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</si>
  <si>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</si>
  <si>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</si>
  <si>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</si>
  <si>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</si>
  <si>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</si>
  <si>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</si>
  <si>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</si>
  <si>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</si>
  <si>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</si>
  <si>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</si>
  <si>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</si>
  <si>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</si>
  <si>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</si>
  <si>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</si>
  <si>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</si>
  <si>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</si>
  <si>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</si>
  <si>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</si>
  <si>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</si>
  <si>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</si>
  <si>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</si>
  <si>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</si>
  <si>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</si>
  <si>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</si>
  <si>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</si>
  <si>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</si>
  <si>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</si>
  <si>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</si>
  <si>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</si>
  <si>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</si>
  <si>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</si>
  <si>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</si>
  <si>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</si>
  <si>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</si>
  <si>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</si>
  <si>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</si>
  <si>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</si>
  <si>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</si>
  <si>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</si>
  <si>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</si>
  <si>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</si>
  <si>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</si>
  <si>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</si>
  <si>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</si>
  <si>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</si>
  <si>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</si>
  <si>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</si>
  <si>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</si>
  <si>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</si>
  <si>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</si>
  <si>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</si>
  <si>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</si>
  <si>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</si>
  <si>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</si>
  <si>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</si>
  <si>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</si>
  <si>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</si>
  <si>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</si>
  <si>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</si>
  <si>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</si>
  <si>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</si>
  <si>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</si>
  <si>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</si>
  <si>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</si>
  <si>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</si>
  <si>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</si>
  <si>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</si>
  <si>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</si>
  <si>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</si>
  <si>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</si>
  <si>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</si>
  <si>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</si>
  <si>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</si>
  <si>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</si>
  <si>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</si>
  <si>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</si>
  <si>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</si>
  <si>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</si>
  <si>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</si>
  <si>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</si>
  <si>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</si>
  <si>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</si>
  <si>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</si>
  <si>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</si>
  <si>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</si>
  <si>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</si>
  <si>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</si>
  <si>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</si>
  <si>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</si>
  <si>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</si>
  <si>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</si>
  <si>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</si>
  <si>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</si>
  <si>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</si>
  <si>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</si>
  <si>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</si>
  <si>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</si>
  <si>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</si>
  <si>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</si>
  <si>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</si>
  <si>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</si>
  <si>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</si>
  <si>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</si>
  <si>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</si>
  <si>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</si>
  <si>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</si>
  <si>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</si>
  <si>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</si>
  <si>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</si>
  <si>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</si>
  <si>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</si>
  <si>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</si>
  <si>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</si>
  <si>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</si>
  <si>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</si>
  <si>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</si>
  <si>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</si>
  <si>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</si>
  <si>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</si>
  <si>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</si>
  <si>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</si>
  <si>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</si>
  <si>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</si>
  <si>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</si>
  <si>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</si>
  <si>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</si>
  <si>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</si>
  <si>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</si>
  <si>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</si>
  <si>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</si>
  <si>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</si>
  <si>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</si>
  <si>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</si>
  <si>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</si>
  <si>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</si>
  <si>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</si>
  <si>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</si>
  <si>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</si>
  <si>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</si>
  <si>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</si>
  <si>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</si>
  <si>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</si>
  <si>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</si>
  <si>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</si>
  <si>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</si>
  <si>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</si>
  <si>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</si>
  <si>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</si>
  <si>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</si>
  <si>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</si>
  <si>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</si>
  <si>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</si>
  <si>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</si>
  <si>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</si>
  <si>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</si>
  <si>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</si>
  <si>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</si>
  <si>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</si>
  <si>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</si>
  <si>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</si>
  <si>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</si>
  <si>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</si>
  <si>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</si>
  <si>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</si>
  <si>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</si>
  <si>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</si>
  <si>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</si>
  <si>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</si>
  <si>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</si>
  <si>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</si>
  <si>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</si>
  <si>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</si>
  <si>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</si>
  <si>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</si>
  <si>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</si>
  <si>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</si>
  <si>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</si>
  <si>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</si>
  <si>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</si>
  <si>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</si>
  <si>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</si>
  <si>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</si>
  <si>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</si>
  <si>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</si>
  <si>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</si>
  <si>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</si>
  <si>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</si>
  <si>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</si>
  <si>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</si>
  <si>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</si>
  <si>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</si>
  <si>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</si>
  <si>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</si>
  <si>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</si>
  <si>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</si>
  <si>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</si>
  <si>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</si>
  <si>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</si>
  <si>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</si>
  <si>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</si>
  <si>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</si>
  <si>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</si>
  <si>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</si>
  <si>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</si>
  <si>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</si>
  <si>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</si>
  <si>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</si>
  <si>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</si>
  <si>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</si>
  <si>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</si>
  <si>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</si>
  <si>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</si>
  <si>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</si>
  <si>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</si>
  <si>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</si>
  <si>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</si>
  <si>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</si>
  <si>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</si>
  <si>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</si>
  <si>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</si>
  <si>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</si>
  <si>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</si>
  <si>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</si>
  <si>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</si>
  <si>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</si>
  <si>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</si>
  <si>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</si>
  <si>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</si>
  <si>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</si>
  <si>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</si>
  <si>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</si>
  <si>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</si>
  <si>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</si>
  <si>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</si>
  <si>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</si>
  <si>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</si>
  <si>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</si>
  <si>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</si>
  <si>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</si>
  <si>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</si>
  <si>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</si>
  <si>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</si>
  <si>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</si>
  <si>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</si>
  <si>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</si>
  <si>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</si>
  <si>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</si>
  <si>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</si>
  <si>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</si>
  <si>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</si>
  <si>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</si>
  <si>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</si>
  <si>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</si>
  <si>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</si>
  <si>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</si>
  <si>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</si>
  <si>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</si>
  <si>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</si>
  <si>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</si>
  <si>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</si>
  <si>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</si>
  <si>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</si>
  <si>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</si>
  <si>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</si>
  <si>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</si>
  <si>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</si>
  <si>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</si>
  <si>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</si>
  <si>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</si>
  <si>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</si>
  <si>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</si>
  <si>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</si>
  <si>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</si>
  <si>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</si>
  <si>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</si>
  <si>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</si>
  <si>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</si>
  <si>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</si>
  <si>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</si>
  <si>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</si>
  <si>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</si>
  <si>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</si>
  <si>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</si>
  <si>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</si>
  <si>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</si>
  <si>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</si>
  <si>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</si>
  <si>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</si>
  <si>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</si>
  <si>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</si>
  <si>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</si>
  <si>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</si>
  <si>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</si>
  <si>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</si>
  <si>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</si>
  <si>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</si>
  <si>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</si>
  <si>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</si>
  <si>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</si>
  <si>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</si>
  <si>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</si>
  <si>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</si>
  <si>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</si>
  <si>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</si>
  <si>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</si>
  <si>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</si>
  <si>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</si>
  <si>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</si>
  <si>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</si>
  <si>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</si>
  <si>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</si>
  <si>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</si>
  <si>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</si>
  <si>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</si>
  <si>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</si>
  <si>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</si>
  <si>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</si>
  <si>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</si>
  <si>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</si>
  <si>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</si>
  <si>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</si>
  <si>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</si>
  <si>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</si>
  <si>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</si>
  <si>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</si>
  <si>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</si>
  <si>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</si>
  <si>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</si>
  <si>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</si>
  <si>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</si>
  <si>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</si>
  <si>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</si>
  <si>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</si>
  <si>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</si>
  <si>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</si>
  <si>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</si>
  <si>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</si>
  <si>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</si>
  <si>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</si>
  <si>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</si>
  <si>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</si>
  <si>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</si>
  <si>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</si>
  <si>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</si>
  <si>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</si>
  <si>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</si>
  <si>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</si>
  <si>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</si>
  <si>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</si>
  <si>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</si>
  <si>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</si>
  <si>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</si>
  <si>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</si>
  <si>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</si>
  <si>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</si>
  <si>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</si>
  <si>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</si>
  <si>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</si>
  <si>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</si>
  <si>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</si>
  <si>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</si>
  <si>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</si>
  <si>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</si>
  <si>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</si>
  <si>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</si>
  <si>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</si>
  <si>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</si>
  <si>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</si>
  <si>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</si>
  <si>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</si>
  <si>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</si>
  <si>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</si>
  <si>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</si>
  <si>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</si>
  <si>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</si>
  <si>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</si>
  <si>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</si>
  <si>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</si>
  <si>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</si>
  <si>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</si>
  <si>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</si>
  <si>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</si>
  <si>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</si>
  <si>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</si>
  <si>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</si>
  <si>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</si>
  <si>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</si>
  <si>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</si>
  <si>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</si>
  <si>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</si>
  <si>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</si>
  <si>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</si>
  <si>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</si>
  <si>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</si>
  <si>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</si>
  <si>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</si>
  <si>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</si>
  <si>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</si>
  <si>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</si>
  <si>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</si>
  <si>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</si>
  <si>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</si>
  <si>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</si>
  <si>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</si>
  <si>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</si>
  <si>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</si>
  <si>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</si>
  <si>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</si>
  <si>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</si>
  <si>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</si>
  <si>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</si>
  <si>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</si>
  <si>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</si>
  <si>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</si>
  <si>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</si>
  <si>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</si>
  <si>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</si>
  <si>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</si>
  <si>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</si>
  <si>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</si>
  <si>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</si>
  <si>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</si>
  <si>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</si>
  <si>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</si>
  <si>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</si>
  <si>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</si>
  <si>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</si>
  <si>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</si>
  <si>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</si>
  <si>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</si>
  <si>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</si>
  <si>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</si>
  <si>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</si>
  <si>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</si>
  <si>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</si>
  <si>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</si>
  <si>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</si>
  <si>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</si>
  <si>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</si>
  <si>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</si>
  <si>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</si>
  <si>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</si>
  <si>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</si>
  <si>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</si>
  <si>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</si>
  <si>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</si>
  <si>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</si>
  <si>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</si>
  <si>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</si>
  <si>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</si>
  <si>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</si>
  <si>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</si>
  <si>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</si>
  <si>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</si>
  <si>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</si>
  <si>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</si>
  <si>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</si>
  <si>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</si>
  <si>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</si>
  <si>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</si>
  <si>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</si>
  <si>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</si>
  <si>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</si>
  <si>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</si>
  <si>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</si>
  <si>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</si>
  <si>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</si>
  <si>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</si>
  <si>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</si>
  <si>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</si>
  <si>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</si>
  <si>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</si>
  <si>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</si>
  <si>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</si>
  <si>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</si>
  <si>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</si>
  <si>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</si>
  <si>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</si>
  <si>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</si>
  <si>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</si>
  <si>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</si>
  <si>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</si>
  <si>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</si>
  <si>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</si>
  <si>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</si>
  <si>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</si>
  <si>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</si>
  <si>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</si>
  <si>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</si>
  <si>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</si>
  <si>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</si>
  <si>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</si>
  <si>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</si>
  <si>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</si>
  <si>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</si>
  <si>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</si>
  <si>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</si>
  <si>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</si>
  <si>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</si>
  <si>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</si>
  <si>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</si>
  <si>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</si>
  <si>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</si>
  <si>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</si>
  <si>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</si>
  <si>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</si>
  <si>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</si>
  <si>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</si>
  <si>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</si>
  <si>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</si>
  <si>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</si>
  <si>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</si>
  <si>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</si>
  <si>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</si>
  <si>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</si>
  <si>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</si>
  <si>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</si>
  <si>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</si>
  <si>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</si>
  <si>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</si>
  <si>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</si>
  <si>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</si>
  <si>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</si>
  <si>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</si>
  <si>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</si>
  <si>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</si>
  <si>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</si>
  <si>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</si>
  <si>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</si>
  <si>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</si>
  <si>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</si>
  <si>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</si>
  <si>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</si>
  <si>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</si>
  <si>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</si>
  <si>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</si>
  <si>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</si>
  <si>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</si>
  <si>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</si>
  <si>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</si>
  <si>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</si>
  <si>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</si>
  <si>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</si>
  <si>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</si>
  <si>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</si>
  <si>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</si>
  <si>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</si>
  <si>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</si>
  <si>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</si>
  <si>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</si>
  <si>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</si>
  <si>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</si>
  <si>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</si>
  <si>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</si>
  <si>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</si>
  <si>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</si>
  <si>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</si>
  <si>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</si>
  <si>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</si>
  <si>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</si>
  <si>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</si>
  <si>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</si>
  <si>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</si>
  <si>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</si>
  <si>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</si>
  <si>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</si>
  <si>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</si>
  <si>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</si>
  <si>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</si>
  <si>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</si>
  <si>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</si>
  <si>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</si>
  <si>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</si>
  <si>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</si>
  <si>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</si>
  <si>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</si>
  <si>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</si>
  <si>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</si>
  <si>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</si>
  <si>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</si>
  <si>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</si>
  <si>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</si>
  <si>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</si>
  <si>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</si>
  <si>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</si>
  <si>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</si>
  <si>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</si>
  <si>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</si>
  <si>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</si>
  <si>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</si>
  <si>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</si>
  <si>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</si>
  <si>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</si>
  <si>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</si>
  <si>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</si>
  <si>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</si>
  <si>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</si>
  <si>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</si>
  <si>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</si>
  <si>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</si>
  <si>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</si>
  <si>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</si>
  <si>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</si>
  <si>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</si>
  <si>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</si>
  <si>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</si>
  <si>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</si>
  <si>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</si>
  <si>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</si>
  <si>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</si>
  <si>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</si>
  <si>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</si>
  <si>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</si>
  <si>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</si>
  <si>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</si>
  <si>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</si>
  <si>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</si>
  <si>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</si>
  <si>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</si>
  <si>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</si>
  <si>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</si>
  <si>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</si>
  <si>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</si>
  <si>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</si>
  <si>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</si>
  <si>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</si>
  <si>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</si>
  <si>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</si>
  <si>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</si>
  <si>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</si>
  <si>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</si>
  <si>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</si>
  <si>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</si>
  <si>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</si>
  <si>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</si>
  <si>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</si>
  <si>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</si>
  <si>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</si>
  <si>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</si>
  <si>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</si>
  <si>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</si>
  <si>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</si>
  <si>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</si>
  <si>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</si>
  <si>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</si>
  <si>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</si>
  <si>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</si>
  <si>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</si>
  <si>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</si>
  <si>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</si>
  <si>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</si>
  <si>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</si>
  <si>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</si>
  <si>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</si>
  <si>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</si>
  <si>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</si>
  <si>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</si>
  <si>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</si>
  <si>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</si>
  <si>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</si>
  <si>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</si>
  <si>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</si>
  <si>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</si>
  <si>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</si>
  <si>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</si>
  <si>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</si>
  <si>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</si>
  <si>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</si>
  <si>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</si>
  <si>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</si>
  <si>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</si>
  <si>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</si>
  <si>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</si>
  <si>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</si>
  <si>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</si>
  <si>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</si>
  <si>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</si>
  <si>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</si>
  <si>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</si>
  <si>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</si>
  <si>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</si>
  <si>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</si>
  <si>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</si>
  <si>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</si>
  <si>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</si>
  <si>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</si>
  <si>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</si>
  <si>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</si>
  <si>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</si>
  <si>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</si>
  <si>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</si>
  <si>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</si>
  <si>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</si>
  <si>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</si>
  <si>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</si>
  <si>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</si>
  <si>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</si>
  <si>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</si>
  <si>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</si>
  <si>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</si>
  <si>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</si>
  <si>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</si>
  <si>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</si>
  <si>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</si>
  <si>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</si>
  <si>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</si>
  <si>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</si>
  <si>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</si>
  <si>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</si>
  <si>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</si>
  <si>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</si>
  <si>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</si>
  <si>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</si>
  <si>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</si>
  <si>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</si>
  <si>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</si>
  <si>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</si>
  <si>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</si>
  <si>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</si>
  <si>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</si>
  <si>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</si>
  <si>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</si>
  <si>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</si>
  <si>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</si>
  <si>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</si>
  <si>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</si>
  <si>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</si>
  <si>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</si>
  <si>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</si>
  <si>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</si>
  <si>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</si>
  <si>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</si>
  <si>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</si>
  <si>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</si>
  <si>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</si>
  <si>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</si>
  <si>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</si>
  <si>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</si>
  <si>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</si>
  <si>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</si>
  <si>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</si>
  <si>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</si>
  <si>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</si>
  <si>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</si>
  <si>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</si>
  <si>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</si>
  <si>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</si>
  <si>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</si>
  <si>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</si>
  <si>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</si>
  <si>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</si>
  <si>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</si>
  <si>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</si>
  <si>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</si>
  <si>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</si>
  <si>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</si>
  <si>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</si>
  <si>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</si>
  <si>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</si>
  <si>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</si>
  <si>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</si>
  <si>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</si>
  <si>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</si>
  <si>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</si>
  <si>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</si>
  <si>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</si>
  <si>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</si>
  <si>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</si>
  <si>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</si>
  <si>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</si>
  <si>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</si>
  <si>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</si>
  <si>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</si>
  <si>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</si>
  <si>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</si>
  <si>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</si>
  <si>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</si>
  <si>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</si>
  <si>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</si>
  <si>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</si>
  <si>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</si>
  <si>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</si>
  <si>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</si>
  <si>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</si>
  <si>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</si>
  <si>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</si>
  <si>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</si>
  <si>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</si>
  <si>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</si>
  <si>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</si>
  <si>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</si>
  <si>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</si>
  <si>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</si>
  <si>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</si>
  <si>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</si>
  <si>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</si>
  <si>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</si>
  <si>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</si>
  <si>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</si>
  <si>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</si>
  <si>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</si>
  <si>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</si>
  <si>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</si>
  <si>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</si>
  <si>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</si>
  <si>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</si>
  <si>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</si>
  <si>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</si>
  <si>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</si>
  <si>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</si>
  <si>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</si>
  <si>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</si>
  <si>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</si>
  <si>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</si>
  <si>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</si>
  <si>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</si>
  <si>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</si>
  <si>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</si>
  <si>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</si>
  <si>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</si>
  <si>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</si>
  <si>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</si>
  <si>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</si>
  <si>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</si>
  <si>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</si>
  <si>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</si>
  <si>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</si>
  <si>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</si>
  <si>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</si>
  <si>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</si>
  <si>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</si>
  <si>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</si>
  <si>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</si>
  <si>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</si>
  <si>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</si>
  <si>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</si>
  <si>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</si>
  <si>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</si>
  <si>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</si>
  <si>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</si>
  <si>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</si>
  <si>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</si>
  <si>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</si>
  <si>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</si>
  <si>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</si>
  <si>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</si>
  <si>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</si>
  <si>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</si>
  <si>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RVD</t>
  </si>
  <si>
    <t>TGR-RVD</t>
  </si>
  <si>
    <t>TGRRVD</t>
  </si>
  <si>
    <t xml:space="preserve">Retirar 7 vgs e deslocar pro FMT </t>
  </si>
  <si>
    <t>Realizou deslocamento</t>
  </si>
  <si>
    <t>TVI-TGR</t>
  </si>
  <si>
    <t>TVITGR</t>
  </si>
  <si>
    <t>Realizado inspeção</t>
  </si>
  <si>
    <t>Wesley</t>
  </si>
  <si>
    <t>Circular de ZDK para ZJU</t>
  </si>
  <si>
    <t>Hebert</t>
  </si>
  <si>
    <t>ZJU-ZTP</t>
  </si>
  <si>
    <t>ZJUZTP</t>
  </si>
  <si>
    <t>Apenas circulação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</si>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</sst>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1" fontId="14" fillId="35" borderId="2" xfId="0" applyNumberFormat="1" applyFont="1" applyFill="1" applyBorder="1" applyAlignment="1" applyProtection="1">
      <alignment horizontal="center" vertical="center"/>
      <protection locked="0"/>
    </xf>
    <xf numFmtId="0" fontId="17" fillId="35" borderId="2" xfId="0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>
    <filterColumn colId="1">
      <filters>
        <dateGroupItem year="2026" month="2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BE1" activePane="topRight" state="frozen"/>
      <selection pane="topRight" activeCell="BH49" sqref="BH49:BH5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2" t="s">
        <v>1023</v>
      </c>
      <c r="BN43" s="232" t="s">
        <v>1053</v>
      </c>
      <c r="BO43" s="232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228"/>
      <c r="AS45" s="228"/>
      <c r="AT45" s="228"/>
      <c r="AU45" s="32"/>
      <c r="AV45" s="32"/>
      <c r="AW45" s="32"/>
      <c r="AX45" s="32"/>
      <c r="AY45" s="184">
        <f>IF(D45="","*",IFERROR(IF(ISODD(COUNT(AS45:AX47)),"ERRO",SUM((AT45-AS45),(AV45-AU45),(AX45-AW45))),"ERRO"))</f>
        <v>0</v>
      </c>
      <c r="AZ45" s="11"/>
      <c r="BA45" s="229"/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>
        <v>1</v>
      </c>
      <c r="BI45" s="14"/>
      <c r="BJ45" s="14" t="s">
        <v>1377</v>
      </c>
      <c r="BK45" s="231"/>
      <c r="BL45" s="13"/>
      <c r="BM45" s="12"/>
      <c r="BN45" s="12"/>
      <c r="BO45" s="130"/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/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1378</v>
      </c>
      <c r="J46" s="151">
        <v>98</v>
      </c>
      <c r="K46" s="151">
        <v>502</v>
      </c>
      <c r="L46" s="71" t="s">
        <v>11</v>
      </c>
      <c r="M46" s="149" t="s">
        <v>1379</v>
      </c>
      <c r="N46" s="149" t="s">
        <v>1380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1381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>
        <v>0</v>
      </c>
      <c r="AS46" s="32">
        <v>0</v>
      </c>
      <c r="AT46" s="32">
        <v>0</v>
      </c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>
        <v>0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>
        <v>0</v>
      </c>
      <c r="BI46" s="14"/>
      <c r="BJ46" s="14" t="s">
        <v>1376</v>
      </c>
      <c r="BK46" s="14" t="s">
        <v>1376</v>
      </c>
      <c r="BL46" s="13"/>
      <c r="BM46" s="232" t="s">
        <v>1023</v>
      </c>
      <c r="BN46" s="232" t="s">
        <v>1053</v>
      </c>
      <c r="BO46" s="232" t="s">
        <v>1115</v>
      </c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>CCOCirculaçãoIntervaloOportunidade</v>
      </c>
    </row>
    <row r="47" spans="1:72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>
        <v>0.43611111111111112</v>
      </c>
      <c r="AS47" s="32">
        <v>0</v>
      </c>
      <c r="AT47" s="32">
        <v>4.1666666666666664E-2</v>
      </c>
      <c r="AU47" s="32"/>
      <c r="AV47" s="32"/>
      <c r="AW47" s="32"/>
      <c r="AX47" s="32"/>
      <c r="AY47" s="184">
        <f>IF(D47="","*",IFERROR(IF(ISODD(COUNT(AS47:AX49)),"ERRO",SUM((AT47-AS47),(AV47-AU47),(AX47-AW47))),"ERRO"))</f>
        <v>4.1666666666666664E-2</v>
      </c>
      <c r="AZ47" s="11"/>
      <c r="BA47" s="60">
        <v>1</v>
      </c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>
        <v>2</v>
      </c>
      <c r="BI47" s="14"/>
      <c r="BJ47" s="14" t="s">
        <v>1382</v>
      </c>
      <c r="BK47" s="14" t="s">
        <v>1382</v>
      </c>
      <c r="BL47" s="13"/>
      <c r="BM47" s="12" t="s">
        <v>1028</v>
      </c>
      <c r="BN47" s="12" t="s">
        <v>1028</v>
      </c>
      <c r="BO47" s="130" t="s">
        <v>1028</v>
      </c>
      <c r="BP47" s="14"/>
      <c r="BQ47" s="10" t="str">
        <f t="shared" si="3"/>
        <v>Aderente</v>
      </c>
      <c r="BR47" s="15">
        <f t="shared" si="4"/>
        <v>1</v>
      </c>
      <c r="BS47" s="15">
        <f t="shared" si="5"/>
        <v>1</v>
      </c>
      <c r="BT47" s="157" t="str">
        <f t="shared" si="2"/>
        <v>OKOK</v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228"/>
      <c r="AS49" s="228"/>
      <c r="AT49" s="228"/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229"/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>
        <v>1</v>
      </c>
      <c r="BI49" s="14"/>
      <c r="BJ49" s="231"/>
      <c r="BK49" s="231"/>
      <c r="BL49" s="13"/>
      <c r="BM49" s="12"/>
      <c r="BN49" s="12"/>
      <c r="BO49" s="130"/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228"/>
      <c r="AS52" s="228"/>
      <c r="AT52" s="228"/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229"/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>
        <v>1</v>
      </c>
      <c r="BI52" s="14"/>
      <c r="BJ52" s="231"/>
      <c r="BK52" s="231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23.25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>
        <v>0.38124999999999998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>
        <v>0</v>
      </c>
      <c r="BI55" s="14"/>
      <c r="BJ55" s="14" t="s">
        <v>1376</v>
      </c>
      <c r="BK55" s="14" t="s">
        <v>1376</v>
      </c>
      <c r="BL55" s="13"/>
      <c r="BM55" s="232" t="s">
        <v>1023</v>
      </c>
      <c r="BN55" s="232" t="s">
        <v>1053</v>
      </c>
      <c r="BO55" s="232" t="s">
        <v>1115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CCOCirculaçãoIntervaloOportunidade</v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1383</v>
      </c>
      <c r="N58" s="149" t="s">
        <v>1384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230">
        <v>0.3611111111111111</v>
      </c>
      <c r="AS58" s="32">
        <v>0</v>
      </c>
      <c r="AT58" s="32">
        <v>4.1666666666666664E-2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4.1666666666666664E-2</v>
      </c>
      <c r="AZ58" s="11"/>
      <c r="BA58" s="60">
        <v>200</v>
      </c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>
        <v>2</v>
      </c>
      <c r="BI58" s="14"/>
      <c r="BJ58" s="14" t="s">
        <v>1385</v>
      </c>
      <c r="BK58" s="14" t="s">
        <v>1385</v>
      </c>
      <c r="BL58" s="13"/>
      <c r="BM58" s="12" t="s">
        <v>1028</v>
      </c>
      <c r="BN58" s="12" t="s">
        <v>1028</v>
      </c>
      <c r="BO58" s="130" t="s">
        <v>1028</v>
      </c>
      <c r="BP58" s="14"/>
      <c r="BQ58" s="10" t="str">
        <f t="shared" si="3"/>
        <v>Aderente</v>
      </c>
      <c r="BR58" s="15">
        <f t="shared" si="4"/>
        <v>1</v>
      </c>
      <c r="BS58" s="15">
        <f t="shared" si="5"/>
        <v>1</v>
      </c>
      <c r="BT58" s="157" t="str">
        <f t="shared" si="2"/>
        <v>OKOK</v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1386</v>
      </c>
      <c r="W60" s="135" t="s">
        <v>1387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>
        <v>0.44166666666666665</v>
      </c>
      <c r="AS60" s="32">
        <v>0</v>
      </c>
      <c r="AT60" s="32">
        <v>4.1666666666666664E-2</v>
      </c>
      <c r="AU60" s="32"/>
      <c r="AV60" s="32"/>
      <c r="AW60" s="32"/>
      <c r="AX60" s="32"/>
      <c r="AY60" s="184">
        <f>IF(D60="","*",IFERROR(IF(ISODD(COUNT(AS60:AX62)),"ERRO",SUM((AT60-AS60),(AV60-AU60),(AX60-AW60))),"ERRO"))</f>
        <v>4.1666666666666664E-2</v>
      </c>
      <c r="AZ60" s="11"/>
      <c r="BA60" s="60">
        <v>1</v>
      </c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>
        <v>2</v>
      </c>
      <c r="BI60" s="14"/>
      <c r="BJ60" s="14" t="s">
        <v>1385</v>
      </c>
      <c r="BK60" s="14" t="s">
        <v>1385</v>
      </c>
      <c r="BL60" s="13"/>
      <c r="BM60" s="12" t="s">
        <v>1028</v>
      </c>
      <c r="BN60" s="12" t="s">
        <v>1028</v>
      </c>
      <c r="BO60" s="130" t="s">
        <v>1028</v>
      </c>
      <c r="BP60" s="14"/>
      <c r="BQ60" s="10" t="str">
        <f t="shared" si="3"/>
        <v>Aderente</v>
      </c>
      <c r="BR60" s="15">
        <f t="shared" si="4"/>
        <v>1</v>
      </c>
      <c r="BS60" s="15">
        <f t="shared" si="5"/>
        <v>1</v>
      </c>
      <c r="BT60" s="157" t="str">
        <f t="shared" si="2"/>
        <v>OKOK</v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idden="1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135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 t="s">
        <v>998</v>
      </c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IF(D64="","*",IFERROR(IF(ISODD(COUNT(AS64:AX66)),"ERRO",SUM((AT64-AS64),(AV64-AU64),(AX64-AW64))),"ERRO"))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ref="A66:A129" si="7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8">IF(AND(BR66&lt;1,BS66&lt;1),"Produção e Intervalo",IF(BR66&lt;1,"Intervalo",IF(BS66&lt;1,"Produção","Aderente")))</f>
        <v>Aderente</v>
      </c>
      <c r="BR66" s="15" t="str">
        <f t="shared" ref="BR66:BR129" si="9">IF(OR(B66="",F66=""),"*",AY66/P66)</f>
        <v>*</v>
      </c>
      <c r="BS66" s="15" t="str">
        <f t="shared" ref="BS66:BS129" si="10">IF(OR(B66="",F66=""),"*",BA66/Q66)</f>
        <v>*</v>
      </c>
      <c r="BT66" s="157" t="str">
        <f t="shared" ref="BT66:BT129" si="11">IF(BN66="","",SUBSTITUTE(BM66," ","")&amp;SUBSTITUTE(BN66," ",""))</f>
        <v/>
      </c>
    </row>
    <row r="67" spans="1:72" hidden="1">
      <c r="A67" s="44" t="str">
        <f t="shared" si="7"/>
        <v>W7046059</v>
      </c>
      <c r="B67" s="133">
        <v>46059</v>
      </c>
      <c r="C67" s="7">
        <f>IF(BS_CONTROLE[[#This Row],[DATA]]="","",WEEKNUM(BS_CONTROLE[[#This Row],[DATA]]))</f>
        <v>6</v>
      </c>
      <c r="D67" s="45" t="s">
        <v>249</v>
      </c>
      <c r="E67" s="185">
        <v>67</v>
      </c>
      <c r="F67" s="134" t="s">
        <v>186</v>
      </c>
      <c r="G67" s="8" t="str">
        <f>IF(D67="","*",VLOOKUP(F67,BS_ATIVIDADE[#All],3,FALSE))</f>
        <v>PEDRA</v>
      </c>
      <c r="H67" s="135" t="s">
        <v>618</v>
      </c>
      <c r="I67" s="135" t="s">
        <v>573</v>
      </c>
      <c r="J67" s="151">
        <v>98</v>
      </c>
      <c r="K67" s="151">
        <v>700</v>
      </c>
      <c r="L67" s="71">
        <v>703</v>
      </c>
      <c r="M67" s="149" t="s">
        <v>642</v>
      </c>
      <c r="N67" s="149">
        <v>699710</v>
      </c>
      <c r="O67" s="135">
        <v>0.41666666666666669</v>
      </c>
      <c r="P67" s="135">
        <v>0.125</v>
      </c>
      <c r="Q67" s="71">
        <v>27</v>
      </c>
      <c r="R67" s="9" t="s">
        <v>62</v>
      </c>
      <c r="S67" s="180" t="s">
        <v>369</v>
      </c>
      <c r="T67" s="180" t="s">
        <v>577</v>
      </c>
      <c r="U67" s="199" t="s">
        <v>576</v>
      </c>
      <c r="V67" s="143" t="s">
        <v>1302</v>
      </c>
      <c r="W67" s="135" t="s">
        <v>1303</v>
      </c>
      <c r="X67" s="152" t="s">
        <v>1004</v>
      </c>
      <c r="Y67" s="129" t="s">
        <v>1007</v>
      </c>
      <c r="Z67" s="129"/>
      <c r="AA67" s="71" t="s">
        <v>1345</v>
      </c>
      <c r="AB67" s="59" t="s">
        <v>996</v>
      </c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TIQ2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TAL-TSF</v>
      </c>
      <c r="AN67" s="175">
        <f>IF(BS_CONTROLE[[#This Row],[SB]]=0, "-", BS_CONTROLE[[#This Row],[SB]])</f>
        <v>699710</v>
      </c>
      <c r="AO67" s="176">
        <f>IF(BS_CONTROLE[[#This Row],[SUB]]=0, "-", BS_CONTROLE[[#This Row],[SUB]])</f>
        <v>98</v>
      </c>
      <c r="AP67" s="177">
        <f>IF(BS_CONTROLE[[#This Row],[KM - Inicio]]=0, "-", BS_CONTROLE[[#This Row],[KM - Inicio]])</f>
        <v>700</v>
      </c>
      <c r="AQ67" s="177">
        <f>IF(BS_CONTROLE[[#This Row],[KM - Fim]]=0, "-", BS_CONTROLE[[#This Row],[KM - Fim]])</f>
        <v>703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200" t="str">
        <f>IFERROR(_xlfn.XLOOKUP(AO67, BASE_MAPA!$B$2:$B$420, BASE_MAPA!$G$2:$G$420), "ERRO")</f>
        <v>ALTO ARAGUAIA - RONDONOPOLIS</v>
      </c>
      <c r="BF67" s="178" t="str">
        <f>IF(BS_CONTROLE[[#This Row],[Responsavel pelo boletim]]=0, "-", BS_CONTROLE[[#This Row],[Responsavel pelo boletim]])</f>
        <v xml:space="preserve">Camila 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 hidden="1">
      <c r="A68" s="44" t="str">
        <f t="shared" si="7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Aderente</v>
      </c>
      <c r="BR68" s="15" t="str">
        <f t="shared" si="9"/>
        <v>*</v>
      </c>
      <c r="BS68" s="15" t="str">
        <f t="shared" si="10"/>
        <v>*</v>
      </c>
      <c r="BT68" s="157" t="str">
        <f t="shared" si="11"/>
        <v/>
      </c>
    </row>
    <row r="69" spans="1:72" hidden="1">
      <c r="A69" s="44" t="str">
        <f t="shared" si="7"/>
        <v>BRUNO (TF-525)46059</v>
      </c>
      <c r="B69" s="133">
        <v>46059</v>
      </c>
      <c r="C69" s="7">
        <f>IF(BS_CONTROLE[[#This Row],[DATA]]="","",WEEKNUM(BS_CONTROLE[[#This Row],[DATA]]))</f>
        <v>6</v>
      </c>
      <c r="D69" s="45" t="s">
        <v>278</v>
      </c>
      <c r="E69" s="185">
        <v>69</v>
      </c>
      <c r="F69" s="134" t="s">
        <v>193</v>
      </c>
      <c r="G69" s="8" t="str">
        <f>IF(D69="","*",VLOOKUP(F69,BS_ATIVIDADE[#All],3,FALSE))</f>
        <v>SOLDA</v>
      </c>
      <c r="H69" s="135" t="s">
        <v>586</v>
      </c>
      <c r="I69" s="135" t="s">
        <v>11</v>
      </c>
      <c r="J69" s="151">
        <v>98</v>
      </c>
      <c r="K69" s="151">
        <v>548.14499999999998</v>
      </c>
      <c r="L69" s="71" t="s">
        <v>11</v>
      </c>
      <c r="M69" s="149" t="s">
        <v>582</v>
      </c>
      <c r="N69" s="149" t="s">
        <v>586</v>
      </c>
      <c r="O69" s="135">
        <v>0.375</v>
      </c>
      <c r="P69" s="135">
        <v>0.125</v>
      </c>
      <c r="Q69" s="71">
        <v>2</v>
      </c>
      <c r="R69" s="9" t="s">
        <v>14</v>
      </c>
      <c r="S69" s="180" t="s">
        <v>369</v>
      </c>
      <c r="T69" s="180" t="s">
        <v>577</v>
      </c>
      <c r="U69" s="199" t="s">
        <v>576</v>
      </c>
      <c r="V69" s="143" t="s">
        <v>1313</v>
      </c>
      <c r="W69" s="135" t="s">
        <v>1314</v>
      </c>
      <c r="X69" s="152" t="s">
        <v>1004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539TRM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TBE-TRM</v>
      </c>
      <c r="AN69" s="175" t="str">
        <f>IF(BS_CONTROLE[[#This Row],[SB]]=0, "-", BS_CONTROLE[[#This Row],[SB]])</f>
        <v>539TRM</v>
      </c>
      <c r="AO69" s="176">
        <f>IF(BS_CONTROLE[[#This Row],[SUB]]=0, "-", BS_CONTROLE[[#This Row],[SUB]])</f>
        <v>98</v>
      </c>
      <c r="AP69" s="177">
        <f>IF(BS_CONTROLE[[#This Row],[KM - Inicio]]=0, "-", BS_CONTROLE[[#This Row],[KM - Inicio]])</f>
        <v>548.14499999999998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200" t="str">
        <f>IFERROR(_xlfn.XLOOKUP(AO69, BASE_MAPA!$B$2:$B$420, BASE_MAPA!$G$2:$G$420), "ERRO")</f>
        <v>ALTO ARAGUAIA - RONDONOPOLIS</v>
      </c>
      <c r="BF69" s="178" t="str">
        <f>IF(BS_CONTROLE[[#This Row],[Responsavel pelo boletim]]=0, "-", BS_CONTROLE[[#This Row],[Responsavel pelo boletim]])</f>
        <v>Bruno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 hidden="1">
      <c r="A70" s="44" t="str">
        <f t="shared" si="7"/>
        <v>ELSON (TF-526)46059</v>
      </c>
      <c r="B70" s="133">
        <v>46059</v>
      </c>
      <c r="C70" s="7">
        <f>IF(BS_CONTROLE[[#This Row],[DATA]]="","",WEEKNUM(BS_CONTROLE[[#This Row],[DATA]]))</f>
        <v>6</v>
      </c>
      <c r="D70" s="45" t="s">
        <v>303</v>
      </c>
      <c r="E70" s="185">
        <v>70</v>
      </c>
      <c r="F70" s="134" t="s">
        <v>193</v>
      </c>
      <c r="G70" s="8" t="str">
        <f>IF(D70="","*",VLOOKUP(F70,BS_ATIVIDADE[#All],3,FALSE))</f>
        <v>SOLDA</v>
      </c>
      <c r="H70" s="14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70" s="135" t="s">
        <v>11</v>
      </c>
      <c r="J70" s="151">
        <v>74</v>
      </c>
      <c r="K70" s="151">
        <v>498.9</v>
      </c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70" s="135">
        <v>0.41666666666666669</v>
      </c>
      <c r="P70" s="135">
        <v>8.3333333333333329E-2</v>
      </c>
      <c r="Q70" s="71">
        <v>2</v>
      </c>
      <c r="R70" s="9" t="str">
        <f>IFERROR(_xlfn.XLOOKUP(F70, BS_ATIVIDADE[ATIVIDADE],BS_ATIVIDADE[UNIDADE] ), "*")</f>
        <v>Nº DE SOLDA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BASE_MAPA!$B$2:$B$420, BASE_MAPA!$G$2:$G$420), "ERRO")</f>
        <v>MARCO INICIAL - ALTO ARAGUAIA</v>
      </c>
      <c r="V70" s="143" t="s">
        <v>1286</v>
      </c>
      <c r="W70" s="135" t="s">
        <v>1314</v>
      </c>
      <c r="X70" s="152" t="s">
        <v>1004</v>
      </c>
      <c r="Y70" s="129" t="s">
        <v>1007</v>
      </c>
      <c r="Z70" s="129"/>
      <c r="AA70" s="71" t="s">
        <v>11</v>
      </c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PDM - SOLDA</v>
      </c>
      <c r="AJ70" s="8" t="str">
        <f>IF(D70="","*",VLOOKUP(AI70,BS_ATIVIDADE[#Data],3,FALSE))</f>
        <v>SOLDA</v>
      </c>
      <c r="AK70" s="175" t="str">
        <f>IF(BS_CONTROLE[[#This Row],[Local - Partida]]=0, "-", BS_CONTROLE[[#This Row],[Local - Partida]])</f>
        <v>499TGR1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TBR-TGR</v>
      </c>
      <c r="AN70" s="175" t="str">
        <f>IF(BS_CONTROLE[[#This Row],[SB]]=0, "-", BS_CONTROLE[[#This Row],[SB]])</f>
        <v>499TGR1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498.9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Nº DE SOLDA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Elson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 hidden="1">
      <c r="A71" s="44" t="str">
        <f t="shared" si="7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 hidden="1">
      <c r="A72" s="44" t="str">
        <f t="shared" si="7"/>
        <v>MARCOS (TF-520)46059</v>
      </c>
      <c r="B72" s="133">
        <v>46059</v>
      </c>
      <c r="C72" s="7">
        <f>IF(BS_CONTROLE[[#This Row],[DATA]]="","",WEEKNUM(BS_CONTROLE[[#This Row],[DATA]]))</f>
        <v>6</v>
      </c>
      <c r="D72" s="45" t="s">
        <v>334</v>
      </c>
      <c r="E72" s="185">
        <v>72</v>
      </c>
      <c r="F72" s="134" t="s">
        <v>193</v>
      </c>
      <c r="G72" s="8" t="str">
        <f>IF(D72="","*",VLOOKUP(F72,BS_ATIVIDADE[#All],3,FALSE))</f>
        <v>SOLDA</v>
      </c>
      <c r="H72" s="14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2" s="135" t="s">
        <v>11</v>
      </c>
      <c r="J72" s="151">
        <v>74</v>
      </c>
      <c r="K72" s="151">
        <v>278.88900000000001</v>
      </c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2" s="135">
        <v>0.375</v>
      </c>
      <c r="P72" s="135">
        <v>0.125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BASE_MAPA!$B$2:$B$420, BASE_MAPA!$G$2:$G$420), "ERRO")</f>
        <v>MARCO INICIAL - ALTO ARAGUAIA</v>
      </c>
      <c r="V72" s="143" t="s">
        <v>1388</v>
      </c>
      <c r="W72" s="135" t="s">
        <v>1314</v>
      </c>
      <c r="X72" s="152" t="s">
        <v>1004</v>
      </c>
      <c r="Y72" s="129" t="s">
        <v>1007</v>
      </c>
      <c r="Z72" s="129"/>
      <c r="AA72" s="71" t="s">
        <v>11</v>
      </c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277TCS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TJA-TCS</v>
      </c>
      <c r="AN72" s="175" t="str">
        <f>IF(BS_CONTROLE[[#This Row],[SB]]=0, "-", BS_CONTROLE[[#This Row],[SB]])</f>
        <v>277TCS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278.88900000000001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IF(D72="","*",IFERROR(IF(ISODD(COUNT(AS72:AX74)),"ERRO",SUM((AT72-AS72),(AV72-AU72),(AX72-AW72))),"ERRO"))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BASE_MAPA!$B$2:$B$420, BASE_MAPA!$G$2:$G$420), "ERRO")</f>
        <v>MARCO INICIAL - ALTO ARAGUAIA</v>
      </c>
      <c r="BF72" s="178" t="str">
        <f>IF(BS_CONTROLE[[#This Row],[Responsavel pelo boletim]]=0, "-", BS_CONTROLE[[#This Row],[Responsavel pelo boletim]])</f>
        <v>Hebert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 hidden="1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 hidden="1">
      <c r="A74" s="44" t="str">
        <f t="shared" si="7"/>
        <v>W5046059</v>
      </c>
      <c r="B74" s="133">
        <v>46059</v>
      </c>
      <c r="C74" s="7">
        <f>IF(BS_CONTROLE[[#This Row],[DATA]]="","",WEEKNUM(BS_CONTROLE[[#This Row],[DATA]]))</f>
        <v>6</v>
      </c>
      <c r="D74" s="45" t="s">
        <v>240</v>
      </c>
      <c r="E74" s="185">
        <v>74</v>
      </c>
      <c r="F74" s="134" t="s">
        <v>148</v>
      </c>
      <c r="G74" s="8" t="str">
        <f>IF(D74="","*",VLOOKUP(F74,BS_ATIVIDADE[#All],3,FALSE))</f>
        <v>MODERNIZAÇÃO</v>
      </c>
      <c r="H74" s="149" t="s">
        <v>474</v>
      </c>
      <c r="I74" s="135" t="s">
        <v>474</v>
      </c>
      <c r="J74" s="151">
        <v>74</v>
      </c>
      <c r="K74" s="151">
        <v>244.9</v>
      </c>
      <c r="L74" s="71">
        <v>244.2</v>
      </c>
      <c r="M74" s="149" t="s">
        <v>459</v>
      </c>
      <c r="N74" s="149">
        <v>239251</v>
      </c>
      <c r="O74" s="135">
        <v>0.35416666666666669</v>
      </c>
      <c r="P74" s="135">
        <v>0.125</v>
      </c>
      <c r="Q74" s="71">
        <v>1000</v>
      </c>
      <c r="R74" s="9" t="s">
        <v>51</v>
      </c>
      <c r="S74" s="180" t="s">
        <v>369</v>
      </c>
      <c r="T74" s="180" t="s">
        <v>373</v>
      </c>
      <c r="U74" s="199" t="s">
        <v>372</v>
      </c>
      <c r="V74" s="143" t="s">
        <v>1357</v>
      </c>
      <c r="W74" s="135" t="s">
        <v>1327</v>
      </c>
      <c r="X74" s="152" t="s">
        <v>999</v>
      </c>
      <c r="Y74" s="129" t="s">
        <v>998</v>
      </c>
      <c r="Z74" s="129"/>
      <c r="AA74" s="71" t="s">
        <v>1358</v>
      </c>
      <c r="AB74" s="59" t="s">
        <v>996</v>
      </c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MODERNIZAÇÃO - RECOLHIMENTO DE DORMENTE</v>
      </c>
      <c r="AJ74" s="8" t="str">
        <f>IF(D74="","*",VLOOKUP(AI74,BS_ATIVIDADE[#Data],3,FALSE))</f>
        <v>MODERNIZAÇÃO</v>
      </c>
      <c r="AK74" s="175" t="str">
        <f>IF(BS_CONTROLE[[#This Row],[Local - Partida]]=0, "-", BS_CONTROLE[[#This Row],[Local - Partida]])</f>
        <v>TCS2</v>
      </c>
      <c r="AL74" s="175" t="str">
        <f>IF(BS_CONTROLE[[#This Row],[Local - Encerramento]]=0, "-", BS_CONTROLE[[#This Row],[Local - Encerramento]])</f>
        <v>TCS2</v>
      </c>
      <c r="AM74" s="175" t="str">
        <f>IF(BS_CONTROLE[[#This Row],[Entre - Estações]]=0, "-", BS_CONTROLE[[#This Row],[Entre - Estações]])</f>
        <v>TVI-TJA</v>
      </c>
      <c r="AN74" s="175">
        <f>IF(BS_CONTROLE[[#This Row],[SB]]=0, "-", BS_CONTROLE[[#This Row],[SB]])</f>
        <v>239251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244.9</v>
      </c>
      <c r="AQ74" s="177">
        <f>IF(BS_CONTROLE[[#This Row],[KM - Fim]]=0, "-", BS_CONTROLE[[#This Row],[KM - Fim]])</f>
        <v>244.2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DORMENTES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BASE_MAPA!$B$2:$B$420, BASE_MAPA!$G$2:$G$420), "ERRO")</f>
        <v>MARCO INICIAL - ALTO ARAGUAIA</v>
      </c>
      <c r="BF74" s="178" t="str">
        <f>IF(BS_CONTROLE[[#This Row],[Responsavel pelo boletim]]=0, "-", BS_CONTROLE[[#This Row],[Responsavel pelo boletim]])</f>
        <v>Augusto/ Efraim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75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 hidden="1">
      <c r="A76" s="44" t="str">
        <f t="shared" si="7"/>
        <v>A8846059</v>
      </c>
      <c r="B76" s="133">
        <v>46059</v>
      </c>
      <c r="C76" s="7">
        <f>IF(BS_CONTROLE[[#This Row],[DATA]]="","",WEEKNUM(BS_CONTROLE[[#This Row],[DATA]]))</f>
        <v>6</v>
      </c>
      <c r="D76" s="45" t="s">
        <v>143</v>
      </c>
      <c r="E76" s="185">
        <v>76</v>
      </c>
      <c r="F76" s="134" t="s">
        <v>84</v>
      </c>
      <c r="G76" s="8" t="str">
        <f>IF(D76="","*",VLOOKUP(F76,BS_ATIVIDADE[#All],3,FALSE))</f>
        <v>OUTROS</v>
      </c>
      <c r="H76" s="135" t="s">
        <v>759</v>
      </c>
      <c r="I76" s="135" t="s">
        <v>790</v>
      </c>
      <c r="J76" s="151">
        <v>78</v>
      </c>
      <c r="K76" s="151">
        <v>275</v>
      </c>
      <c r="L76" s="71">
        <v>334</v>
      </c>
      <c r="M76" s="149" t="s">
        <v>1389</v>
      </c>
      <c r="N76" s="149" t="s">
        <v>1390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BINÁRIO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6" s="199" t="str">
        <f>IFERROR(_xlfn.XLOOKUP(J76, BASE_MAPA!$B$2:$B$420, BASE_MAPA!$G$2:$G$420), "ERRO")</f>
        <v>ITIRAPINA - BAURU</v>
      </c>
      <c r="V76" s="143" t="s">
        <v>1386</v>
      </c>
      <c r="W76" s="135" t="s">
        <v>1391</v>
      </c>
      <c r="X76" s="152" t="s">
        <v>1004</v>
      </c>
      <c r="Y76" s="129" t="s">
        <v>1007</v>
      </c>
      <c r="Z76" s="129"/>
      <c r="AA76" s="71">
        <v>1</v>
      </c>
      <c r="AB76" s="59" t="s">
        <v>996</v>
      </c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INSPEÇÃO AUTO DE LINHA</v>
      </c>
      <c r="AJ76" s="8" t="str">
        <f>IF(D76="","*",VLOOKUP(AI76,BS_ATIVIDADE[#Data],3,FALSE))</f>
        <v>OUTROS</v>
      </c>
      <c r="AK76" s="175" t="str">
        <f>IF(BS_CONTROLE[[#This Row],[Local - Partida]]=0, "-", BS_CONTROLE[[#This Row],[Local - Partida]])</f>
        <v>ZJU</v>
      </c>
      <c r="AL76" s="175" t="str">
        <f>IF(BS_CONTROLE[[#This Row],[Local - Encerramento]]=0, "-", BS_CONTROLE[[#This Row],[Local - Encerramento]])</f>
        <v>ZTP</v>
      </c>
      <c r="AM76" s="175" t="str">
        <f>IF(BS_CONTROLE[[#This Row],[Entre - Estações]]=0, "-", BS_CONTROLE[[#This Row],[Entre - Estações]])</f>
        <v>ZJU-ZTP</v>
      </c>
      <c r="AN76" s="175" t="str">
        <f>IF(BS_CONTROLE[[#This Row],[SB]]=0, "-", BS_CONTROLE[[#This Row],[SB]])</f>
        <v>ZJUZTP</v>
      </c>
      <c r="AO76" s="176">
        <f>IF(BS_CONTROLE[[#This Row],[SUB]]=0, "-", BS_CONTROLE[[#This Row],[SUB]])</f>
        <v>78</v>
      </c>
      <c r="AP76" s="177">
        <f>IF(BS_CONTROLE[[#This Row],[KM - Inicio]]=0, "-", BS_CONTROLE[[#This Row],[KM - Inicio]])</f>
        <v>275</v>
      </c>
      <c r="AQ76" s="177">
        <f>IF(BS_CONTROLE[[#This Row],[KM - Fim]]=0, "-", BS_CONTROLE[[#This Row],[KM - Fim]])</f>
        <v>334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BINÁRIO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6" s="200" t="str">
        <f>IFERROR(_xlfn.XLOOKUP(AO76, BASE_MAPA!$B$2:$B$420, BASE_MAPA!$G$2:$G$420), "ERRO")</f>
        <v>ITIRAPINA - BAURU</v>
      </c>
      <c r="BF76" s="178" t="str">
        <f>IF(BS_CONTROLE[[#This Row],[Responsavel pelo boletim]]=0, "-", BS_CONTROLE[[#This Row],[Responsavel pelo boletim]])</f>
        <v>Wesley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idden="1">
      <c r="A130" s="44" t="str">
        <f t="shared" ref="A130:A193" si="12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3">IF(AND(BR130&lt;1,BS130&lt;1),"Produção e Intervalo",IF(BR130&lt;1,"Intervalo",IF(BS130&lt;1,"Produção","Aderente")))</f>
        <v>Aderente</v>
      </c>
      <c r="BR130" s="15" t="str">
        <f t="shared" ref="BR130:BR193" si="14">IF(OR(B130="",F130=""),"*",AY130/P130)</f>
        <v>*</v>
      </c>
      <c r="BS130" s="15" t="str">
        <f t="shared" ref="BS130:BS193" si="15">IF(OR(B130="",F130=""),"*",BA130/Q130)</f>
        <v>*</v>
      </c>
      <c r="BT130" s="157" t="str">
        <f t="shared" ref="BT130:BT193" si="16">IF(BN130="","",SUBSTITUTE(BM130," ","")&amp;SUBSTITUTE(BN130," ",""))</f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idden="1">
      <c r="A194" s="44" t="str">
        <f t="shared" ref="A194:A257" si="17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8">IF(AND(BR194&lt;1,BS194&lt;1),"Produção e Intervalo",IF(BR194&lt;1,"Intervalo",IF(BS194&lt;1,"Produção","Aderente")))</f>
        <v>Aderente</v>
      </c>
      <c r="BR194" s="15" t="str">
        <f t="shared" ref="BR194:BR257" si="19">IF(OR(B194="",F194=""),"*",AY194/P194)</f>
        <v>*</v>
      </c>
      <c r="BS194" s="15" t="str">
        <f t="shared" ref="BS194:BS257" si="20">IF(OR(B194="",F194=""),"*",BA194/Q194)</f>
        <v>*</v>
      </c>
      <c r="BT194" s="157" t="str">
        <f t="shared" ref="BT194:BT257" si="21">IF(BN194="","",SUBSTITUTE(BM194," ","")&amp;SUBSTITUTE(BN194," ",""))</f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idden="1">
      <c r="A258" s="44" t="str">
        <f t="shared" ref="A258:A321" si="22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3">IF(AND(BR258&lt;1,BS258&lt;1),"Produção e Intervalo",IF(BR258&lt;1,"Intervalo",IF(BS258&lt;1,"Produção","Aderente")))</f>
        <v>Aderente</v>
      </c>
      <c r="BR258" s="15" t="str">
        <f t="shared" ref="BR258:BR321" si="24">IF(OR(B258="",F258=""),"*",AY258/P258)</f>
        <v>*</v>
      </c>
      <c r="BS258" s="15" t="str">
        <f t="shared" ref="BS258:BS321" si="25">IF(OR(B258="",F258=""),"*",BA258/Q258)</f>
        <v>*</v>
      </c>
      <c r="BT258" s="157" t="str">
        <f t="shared" ref="BT258:BT321" si="26">IF(BN258="","",SUBSTITUTE(BM258," ","")&amp;SUBSTITUTE(BN258," ",""))</f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idden="1">
      <c r="A322" s="44" t="str">
        <f t="shared" ref="A322:A385" si="27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8">IF(AND(BR322&lt;1,BS322&lt;1),"Produção e Intervalo",IF(BR322&lt;1,"Intervalo",IF(BS322&lt;1,"Produção","Aderente")))</f>
        <v>Aderente</v>
      </c>
      <c r="BR322" s="15" t="str">
        <f t="shared" ref="BR322:BR385" si="29">IF(OR(B322="",F322=""),"*",AY322/P322)</f>
        <v>*</v>
      </c>
      <c r="BS322" s="15" t="str">
        <f t="shared" ref="BS322:BS385" si="30">IF(OR(B322="",F322=""),"*",BA322/Q322)</f>
        <v>*</v>
      </c>
      <c r="BT322" s="157" t="str">
        <f t="shared" ref="BT322:BT385" si="31">IF(BN322="","",SUBSTITUTE(BM322," ","")&amp;SUBSTITUTE(BN322," ",""))</f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idden="1">
      <c r="A386" s="44" t="str">
        <f t="shared" ref="A386:A449" si="32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3">IF(AND(BR386&lt;1,BS386&lt;1),"Produção e Intervalo",IF(BR386&lt;1,"Intervalo",IF(BS386&lt;1,"Produção","Aderente")))</f>
        <v>Aderente</v>
      </c>
      <c r="BR386" s="15" t="str">
        <f t="shared" ref="BR386:BR449" si="34">IF(OR(B386="",F386=""),"*",AY386/P386)</f>
        <v>*</v>
      </c>
      <c r="BS386" s="15" t="str">
        <f t="shared" ref="BS386:BS449" si="35">IF(OR(B386="",F386=""),"*",BA386/Q386)</f>
        <v>*</v>
      </c>
      <c r="BT386" s="157" t="str">
        <f t="shared" ref="BT386:BT449" si="36">IF(BN386="","",SUBSTITUTE(BM386," ","")&amp;SUBSTITUTE(BN386," ",""))</f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idden="1">
      <c r="A450" s="44" t="str">
        <f t="shared" ref="A450:A513" si="37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8">IF(AND(BR450&lt;1,BS450&lt;1),"Produção e Intervalo",IF(BR450&lt;1,"Intervalo",IF(BS450&lt;1,"Produção","Aderente")))</f>
        <v>Aderente</v>
      </c>
      <c r="BR450" s="15" t="str">
        <f t="shared" ref="BR450:BR513" si="39">IF(OR(B450="",F450=""),"*",AY450/P450)</f>
        <v>*</v>
      </c>
      <c r="BS450" s="15" t="str">
        <f t="shared" ref="BS450:BS513" si="40">IF(OR(B450="",F450=""),"*",BA450/Q450)</f>
        <v>*</v>
      </c>
      <c r="BT450" s="157" t="str">
        <f t="shared" ref="BT450:BT513" si="41">IF(BN450="","",SUBSTITUTE(BM450," ","")&amp;SUBSTITUTE(BN450," ",""))</f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idden="1">
      <c r="A514" s="44" t="str">
        <f t="shared" ref="A514:A577" si="42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3">IF(AND(BR514&lt;1,BS514&lt;1),"Produção e Intervalo",IF(BR514&lt;1,"Intervalo",IF(BS514&lt;1,"Produção","Aderente")))</f>
        <v>Aderente</v>
      </c>
      <c r="BR514" s="15" t="str">
        <f t="shared" ref="BR514:BR577" si="44">IF(OR(B514="",F514=""),"*",AY514/P514)</f>
        <v>*</v>
      </c>
      <c r="BS514" s="15" t="str">
        <f t="shared" ref="BS514:BS577" si="45">IF(OR(B514="",F514=""),"*",BA514/Q514)</f>
        <v>*</v>
      </c>
      <c r="BT514" s="157" t="str">
        <f t="shared" ref="BT514:BT577" si="46">IF(BN514="","",SUBSTITUTE(BM514," ","")&amp;SUBSTITUTE(BN514," ",""))</f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idden="1">
      <c r="A578" s="44" t="str">
        <f t="shared" ref="A578:A641" si="47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8">IF(AND(BR578&lt;1,BS578&lt;1),"Produção e Intervalo",IF(BR578&lt;1,"Intervalo",IF(BS578&lt;1,"Produção","Aderente")))</f>
        <v>Aderente</v>
      </c>
      <c r="BR578" s="15" t="str">
        <f t="shared" ref="BR578:BR641" si="49">IF(OR(B578="",F578=""),"*",AY578/P578)</f>
        <v>*</v>
      </c>
      <c r="BS578" s="15" t="str">
        <f t="shared" ref="BS578:BS641" si="50">IF(OR(B578="",F578=""),"*",BA578/Q578)</f>
        <v>*</v>
      </c>
      <c r="BT578" s="157" t="str">
        <f t="shared" ref="BT578:BT641" si="51">IF(BN578="","",SUBSTITUTE(BM578," ","")&amp;SUBSTITUTE(BN578," ",""))</f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idden="1">
      <c r="A642" s="44" t="str">
        <f t="shared" ref="A642:A705" si="52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3">IF(AND(BR642&lt;1,BS642&lt;1),"Produção e Intervalo",IF(BR642&lt;1,"Intervalo",IF(BS642&lt;1,"Produção","Aderente")))</f>
        <v>Aderente</v>
      </c>
      <c r="BR642" s="15" t="str">
        <f t="shared" ref="BR642:BR705" si="54">IF(OR(B642="",F642=""),"*",AY642/P642)</f>
        <v>*</v>
      </c>
      <c r="BS642" s="15" t="str">
        <f t="shared" ref="BS642:BS705" si="55">IF(OR(B642="",F642=""),"*",BA642/Q642)</f>
        <v>*</v>
      </c>
      <c r="BT642" s="157" t="str">
        <f t="shared" ref="BT642:BT705" si="56">IF(BN642="","",SUBSTITUTE(BM642," ","")&amp;SUBSTITUTE(BN642," ",""))</f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idden="1">
      <c r="A706" s="44" t="str">
        <f t="shared" ref="A706:A769" si="57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8">IF(AND(BR706&lt;1,BS706&lt;1),"Produção e Intervalo",IF(BR706&lt;1,"Intervalo",IF(BS706&lt;1,"Produção","Aderente")))</f>
        <v>Aderente</v>
      </c>
      <c r="BR706" s="15" t="str">
        <f t="shared" ref="BR706:BR769" si="59">IF(OR(B706="",F706=""),"*",AY706/P706)</f>
        <v>*</v>
      </c>
      <c r="BS706" s="15" t="str">
        <f t="shared" ref="BS706:BS769" si="60">IF(OR(B706="",F706=""),"*",BA706/Q706)</f>
        <v>*</v>
      </c>
      <c r="BT706" s="157" t="str">
        <f t="shared" ref="BT706:BT769" si="61">IF(BN706="","",SUBSTITUTE(BM706," ","")&amp;SUBSTITUTE(BN706," ",""))</f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idden="1">
      <c r="A770" s="44" t="str">
        <f t="shared" ref="A770:A795" si="62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3">IF(AND(BR770&lt;1,BS770&lt;1),"Produção e Intervalo",IF(BR770&lt;1,"Intervalo",IF(BS770&lt;1,"Produção","Aderente")))</f>
        <v>Aderente</v>
      </c>
      <c r="BR770" s="15" t="str">
        <f t="shared" ref="BR770:BR795" si="64">IF(OR(B770="",F770=""),"*",AY770/P770)</f>
        <v>*</v>
      </c>
      <c r="BS770" s="15" t="str">
        <f t="shared" ref="BS770:BS795" si="65">IF(OR(B770="",F770=""),"*",BA770/Q770)</f>
        <v>*</v>
      </c>
      <c r="BT770" s="157" t="str">
        <f t="shared" ref="BT770:BT795" si="66">IF(BN770="","",SUBSTITUTE(BM770," ","")&amp;SUBSTITUTE(BN770," ",""))</f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85" operator="equal">
      <formula>"ERRO"</formula>
    </cfRule>
  </conditionalFormatting>
  <conditionalFormatting sqref="X4 Y1:Z5 Y8:Z795">
    <cfRule type="cellIs" dxfId="123" priority="18474" operator="equal">
      <formula>"OPORTUNIDADE"</formula>
    </cfRule>
  </conditionalFormatting>
  <conditionalFormatting sqref="AZ6:AZ795">
    <cfRule type="expression" dxfId="122" priority="18469">
      <formula>$BU6=1</formula>
    </cfRule>
  </conditionalFormatting>
  <conditionalFormatting sqref="BQ6:BQ795">
    <cfRule type="cellIs" dxfId="121" priority="18480" operator="equal">
      <formula>"Produção e Intervalo"</formula>
    </cfRule>
    <cfRule type="cellIs" dxfId="120" priority="18481" operator="equal">
      <formula>"Aderente"</formula>
    </cfRule>
    <cfRule type="cellIs" dxfId="119" priority="18482" operator="equal">
      <formula>"Intervalo"</formula>
    </cfRule>
    <cfRule type="cellIs" dxfId="118" priority="18483" operator="equal">
      <formula>"Produção"</formula>
    </cfRule>
    <cfRule type="cellIs" dxfId="117" priority="18484" operator="equal">
      <formula>"ERRO"</formula>
    </cfRule>
  </conditionalFormatting>
  <conditionalFormatting sqref="BR6:BS795">
    <cfRule type="cellIs" dxfId="116" priority="18462" operator="equal">
      <formula>"*"</formula>
    </cfRule>
    <cfRule type="cellIs" dxfId="115" priority="18463" operator="greaterThanOrEqual">
      <formula>1</formula>
    </cfRule>
    <cfRule type="cellIs" dxfId="114" priority="18464" operator="lessThan">
      <formula>1</formula>
    </cfRule>
  </conditionalFormatting>
  <conditionalFormatting sqref="Y8:Z795">
    <cfRule type="cellIs" dxfId="113" priority="18410" operator="equal">
      <formula>"NÃO"</formula>
    </cfRule>
    <cfRule type="cellIs" dxfId="112" priority="18411" operator="equal">
      <formula>"SIM"</formula>
    </cfRule>
  </conditionalFormatting>
  <conditionalFormatting sqref="Y1047858:Y1048576">
    <cfRule type="cellIs" dxfId="111" priority="18291" operator="equal">
      <formula>"OPORTUNIDADE"</formula>
    </cfRule>
  </conditionalFormatting>
  <conditionalFormatting sqref="Y1047858:Y1048576">
    <cfRule type="cellIs" dxfId="110" priority="18289" operator="equal">
      <formula>"NÃO"</formula>
    </cfRule>
    <cfRule type="cellIs" dxfId="109" priority="18290" operator="equal">
      <formula>"SIM"</formula>
    </cfRule>
  </conditionalFormatting>
  <conditionalFormatting sqref="Y6:Y7">
    <cfRule type="cellIs" dxfId="108" priority="11" operator="equal">
      <formula>"OPORTUNIDADE"</formula>
    </cfRule>
  </conditionalFormatting>
  <conditionalFormatting sqref="Y6:Y7">
    <cfRule type="cellIs" dxfId="107" priority="9" operator="equal">
      <formula>"NÃO"</formula>
    </cfRule>
    <cfRule type="cellIs" dxfId="106" priority="10" operator="equal">
      <formula>"SIM"</formula>
    </cfRule>
  </conditionalFormatting>
  <conditionalFormatting sqref="BK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8">
      <iconSet showValue="0">
        <cfvo type="percent" val="0"/>
        <cfvo type="num" val="1"/>
        <cfvo type="num" val="1" gte="0"/>
      </iconSet>
    </cfRule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8 BK17 BK22:BK23 BK33 BK35 BK38:BK40 BJ6:BJ795">
    <cfRule type="iconSet" priority="22012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42 BK44:BK45 BK48:BK54 BK56:BK57 BK59 BK61:BK795">
    <cfRule type="iconSet" priority="22017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24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42 BM44:BM45 BM47:BM54 BM5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1392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1393</v>
      </c>
      <c r="E3" s="186" t="s">
        <v>1394</v>
      </c>
      <c r="F3" s="186" t="s">
        <v>1395</v>
      </c>
      <c r="G3" s="186" t="s">
        <v>1396</v>
      </c>
      <c r="H3" s="186" t="s">
        <v>1397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1398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1399</v>
      </c>
      <c r="D12" s="187">
        <v>9049</v>
      </c>
      <c r="E12" s="188">
        <v>46044</v>
      </c>
      <c r="F12" s="190" t="s">
        <v>1400</v>
      </c>
      <c r="G12" s="187" t="s">
        <v>1401</v>
      </c>
      <c r="H12" s="187"/>
    </row>
    <row r="13" spans="3:8">
      <c r="C13" s="187" t="s">
        <v>1399</v>
      </c>
      <c r="D13" s="187">
        <v>9044</v>
      </c>
      <c r="E13" s="188">
        <v>46044</v>
      </c>
      <c r="F13" s="190" t="s">
        <v>1402</v>
      </c>
      <c r="G13" s="187" t="s">
        <v>1403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N903" sqref="A903:N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1404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1405</v>
      </c>
      <c r="B2" s="91" t="s">
        <v>1406</v>
      </c>
      <c r="C2" s="91" t="s">
        <v>7</v>
      </c>
      <c r="D2" s="92" t="s">
        <v>1210</v>
      </c>
      <c r="E2" s="92" t="s">
        <v>365</v>
      </c>
      <c r="F2" s="92" t="s">
        <v>1407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1408</v>
      </c>
      <c r="T2" s="94" t="s">
        <v>1213</v>
      </c>
      <c r="U2" s="90">
        <f ca="1">TODAY()-1</f>
        <v>46058</v>
      </c>
      <c r="V2" s="90">
        <f ca="1">U2-1</f>
        <v>46057</v>
      </c>
      <c r="W2" s="90">
        <f ca="1">V2-1</f>
        <v>46056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1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>
        <f ca="1">_xlfn.XLOOKUP(G8&amp;$W$2,BS_CONTROLE[CHAVE],BS_CONTROLE[Quantidade_11],"-")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1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1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1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1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>
        <f ca="1">_xlfn.XLOOKUP(G21&amp;$V$2,BS_CONTROLE[CHAVE],BS_CONTROLE[Quantidade_11],"-")</f>
        <v>135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>
        <f ca="1">_xlfn.XLOOKUP(G23&amp;$W$2,BS_CONTROLE[CHAVE],BS_CONTROLE[Quantidade_11],"-")</f>
        <v>13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1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1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135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200</v>
      </c>
      <c r="V41" s="98">
        <f ca="1">_xlfn.XLOOKUP(G41&amp;$V$2,BS_CONTROLE[CHAVE],BS_CONTROLE[Quantidade_11],"-")</f>
        <v>280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8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1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0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1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1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1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135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200</v>
      </c>
      <c r="V62" s="98">
        <f ca="1">_xlfn.XLOOKUP(G62&amp;$V$2,BS_CONTROLE[CHAVE],BS_CONTROLE[Quantidade_11],"-")</f>
        <v>280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IF(FN_MC!Y64="","*",FN_MC!Y64)</f>
        <v>SIM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>
        <f ca="1">_xlfn.XLOOKUP(G68&amp;$U$2,BS_CONTROLE[CHAVE],BS_CONTROLE[Quantidade_11],"-")</f>
        <v>0</v>
      </c>
      <c r="V68" s="98" t="str">
        <f ca="1">_xlfn.XLOOKUP(G68&amp;$V$2,BS_CONTROLE[CHAVE],BS_CONTROLE[Quantidade_11],"-")</f>
        <v>-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IF(FN_MC!Y67="","*",FN_MC!Y67)</f>
        <v>OPORTUNIDADE</v>
      </c>
      <c r="B71" s="95" t="str">
        <f>IF(FN_MC!X67="","*",FN_MC!X67)</f>
        <v>Oportunidade</v>
      </c>
      <c r="C71" s="95" t="str">
        <f>IF(FN_MC!Z67="","*",FN_MC!Z67)</f>
        <v>*</v>
      </c>
      <c r="D71" s="96" t="str">
        <f>IF(FN_MC!S67="","*",FN_MC!S67)</f>
        <v>FERRONORTE</v>
      </c>
      <c r="E71" s="96" t="str">
        <f>IF(FN_MC!T67="","*",FN_MC!T67)</f>
        <v>TGR-TRO</v>
      </c>
      <c r="F71" s="96">
        <f>IF(FN_MC!B67="","*",FN_MC!B67)</f>
        <v>46059</v>
      </c>
      <c r="G71" s="96" t="str">
        <f>IF(FN_MC!D67="","*",FN_MC!D67)</f>
        <v>W70</v>
      </c>
      <c r="H71" s="96" t="str">
        <f>IF(FN_MC!F67="","*",FN_MC!F67)</f>
        <v>PDM - PEDRA - DESCARGA</v>
      </c>
      <c r="I71" s="96" t="str">
        <f>IF(FN_MC!H67="","*",FN_MC!H67)</f>
        <v>TIQ2</v>
      </c>
      <c r="J71" s="96" t="str">
        <f>IF(FN_MC!I67="","*",FN_MC!I67)</f>
        <v>TGR2</v>
      </c>
      <c r="K71" s="96" t="str">
        <f>IF(FN_MC!M67="","*",FN_MC!M67)</f>
        <v>TAL-TSF</v>
      </c>
      <c r="L71" s="196">
        <f>IF(FN_MC!N67="","*",FN_MC!N67)</f>
        <v>699710</v>
      </c>
      <c r="M71" s="97">
        <f>IF(FN_MC!J67="","*",FN_MC!J67)</f>
        <v>98</v>
      </c>
      <c r="N71" s="183">
        <f>IF(FN_MC!K67="","*",FN_MC!K67)</f>
        <v>700</v>
      </c>
      <c r="O71" s="183">
        <f>IF(FN_MC!L67="","*",FN_MC!L67)</f>
        <v>703</v>
      </c>
      <c r="P71" s="107">
        <f>IF(FN_MC!O67="","*",FN_MC!O67)</f>
        <v>0.41666666666666669</v>
      </c>
      <c r="Q71" s="107">
        <f>IF(FN_MC!P67="","*",FN_MC!P67)</f>
        <v>0.125</v>
      </c>
      <c r="R71" s="96" t="str">
        <f>IF(FN_MC!Q67="","*",CONCATENATE(FN_MC!Q67," ",FN_MC!R67))</f>
        <v>27 VAGÕES</v>
      </c>
      <c r="S71" s="96" t="str">
        <f>IF(FN_MC!V67="","*",FN_MC!V67)</f>
        <v xml:space="preserve">Camila </v>
      </c>
      <c r="T71" s="96" t="str">
        <f>IF(FN_MC!W67="","*",FN_MC!W67)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IF(FN_MC!Y69="","*",FN_MC!Y69)</f>
        <v>OPORTUNIDADE</v>
      </c>
      <c r="B73" s="95" t="str">
        <f>IF(FN_MC!X69="","*",FN_MC!X69)</f>
        <v>Oportunidade</v>
      </c>
      <c r="C73" s="95" t="str">
        <f>IF(FN_MC!Z69="","*",FN_MC!Z69)</f>
        <v>*</v>
      </c>
      <c r="D73" s="96" t="str">
        <f>IF(FN_MC!S69="","*",FN_MC!S69)</f>
        <v>FERRONORTE</v>
      </c>
      <c r="E73" s="96" t="str">
        <f>IF(FN_MC!T69="","*",FN_MC!T69)</f>
        <v>TGR-TRO</v>
      </c>
      <c r="F73" s="96">
        <f>IF(FN_MC!B69="","*",FN_MC!B69)</f>
        <v>46059</v>
      </c>
      <c r="G73" s="96" t="str">
        <f>IF(FN_MC!D69="","*",FN_MC!D69)</f>
        <v>BRUNO (TF-525)</v>
      </c>
      <c r="H73" s="96" t="str">
        <f>IF(FN_MC!F69="","*",FN_MC!F69)</f>
        <v>PDM - SOLDA</v>
      </c>
      <c r="I73" s="96" t="str">
        <f>IF(FN_MC!H69="","*",FN_MC!H69)</f>
        <v>539TRM</v>
      </c>
      <c r="J73" s="96" t="str">
        <f>IF(FN_MC!I69="","*",FN_MC!I69)</f>
        <v>-</v>
      </c>
      <c r="K73" s="96" t="str">
        <f>IF(FN_MC!M69="","*",FN_MC!M69)</f>
        <v>TBE-TRM</v>
      </c>
      <c r="L73" s="196" t="str">
        <f>IF(FN_MC!N69="","*",FN_MC!N69)</f>
        <v>539TRM</v>
      </c>
      <c r="M73" s="97">
        <f>IF(FN_MC!J69="","*",FN_MC!J69)</f>
        <v>98</v>
      </c>
      <c r="N73" s="183">
        <f>IF(FN_MC!K69="","*",FN_MC!K69)</f>
        <v>548.14499999999998</v>
      </c>
      <c r="O73" s="183" t="str">
        <f>IF(FN_MC!L69="","*",FN_MC!L69)</f>
        <v>-</v>
      </c>
      <c r="P73" s="107">
        <f>IF(FN_MC!O69="","*",FN_MC!O69)</f>
        <v>0.375</v>
      </c>
      <c r="Q73" s="107">
        <f>IF(FN_MC!P69="","*",FN_MC!P69)</f>
        <v>0.125</v>
      </c>
      <c r="R73" s="96" t="str">
        <f>IF(FN_MC!Q69="","*",CONCATENATE(FN_MC!Q69," ",FN_MC!R69))</f>
        <v>2 Nº DE SOLDA</v>
      </c>
      <c r="S73" s="96" t="str">
        <f>IF(FN_MC!V69="","*",FN_MC!V69)</f>
        <v>Bruno</v>
      </c>
      <c r="T73" s="96" t="str">
        <f>IF(FN_MC!W69="","*",FN_MC!W69)</f>
        <v xml:space="preserve">Execução de solda - Condicionado a temperatura 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IF(FN_MC!Y70="","*",FN_MC!Y70)</f>
        <v>OPORTUNIDADE</v>
      </c>
      <c r="B74" s="95" t="str">
        <f>IF(FN_MC!X70="","*",FN_MC!X70)</f>
        <v>Oportunidade</v>
      </c>
      <c r="C74" s="95" t="str">
        <f>IF(FN_MC!Z70="","*",FN_MC!Z70)</f>
        <v>*</v>
      </c>
      <c r="D74" s="96" t="str">
        <f>IF(FN_MC!S70="","*",FN_MC!S70)</f>
        <v>FERRONORTE</v>
      </c>
      <c r="E74" s="96" t="str">
        <f>IF(FN_MC!T70="","*",FN_MC!T70)</f>
        <v>TCS-TGR</v>
      </c>
      <c r="F74" s="96">
        <f>IF(FN_MC!B70="","*",FN_MC!B70)</f>
        <v>46059</v>
      </c>
      <c r="G74" s="96" t="str">
        <f>IF(FN_MC!D70="","*",FN_MC!D70)</f>
        <v>ELSON (TF-526)</v>
      </c>
      <c r="H74" s="96" t="str">
        <f>IF(FN_MC!F70="","*",FN_MC!F70)</f>
        <v>PDM - SOLDA</v>
      </c>
      <c r="I74" s="96" t="str">
        <f>IF(FN_MC!H70="","*",FN_MC!H70)</f>
        <v>499TGR1</v>
      </c>
      <c r="J74" s="96" t="str">
        <f>IF(FN_MC!I70="","*",FN_MC!I70)</f>
        <v>-</v>
      </c>
      <c r="K74" s="96" t="str">
        <f>IF(FN_MC!M70="","*",FN_MC!M70)</f>
        <v>TBR-TGR</v>
      </c>
      <c r="L74" s="196" t="str">
        <f>IF(FN_MC!N70="","*",FN_MC!N70)</f>
        <v>499TGR1</v>
      </c>
      <c r="M74" s="97">
        <f>IF(FN_MC!J70="","*",FN_MC!J70)</f>
        <v>74</v>
      </c>
      <c r="N74" s="183">
        <f>IF(FN_MC!K70="","*",FN_MC!K70)</f>
        <v>498.9</v>
      </c>
      <c r="O74" s="183" t="str">
        <f>IF(FN_MC!L70="","*",FN_MC!L70)</f>
        <v>-</v>
      </c>
      <c r="P74" s="107">
        <f>IF(FN_MC!O70="","*",FN_MC!O70)</f>
        <v>0.41666666666666669</v>
      </c>
      <c r="Q74" s="107">
        <f>IF(FN_MC!P70="","*",FN_MC!P70)</f>
        <v>8.3333333333333329E-2</v>
      </c>
      <c r="R74" s="96" t="str">
        <f>IF(FN_MC!Q70="","*",CONCATENATE(FN_MC!Q70," ",FN_MC!R70))</f>
        <v>2 Nº DE SOLDA</v>
      </c>
      <c r="S74" s="96" t="str">
        <f>IF(FN_MC!V70="","*",FN_MC!V70)</f>
        <v>Elson</v>
      </c>
      <c r="T74" s="96" t="str">
        <f>IF(FN_MC!W70="","*",FN_MC!W70)</f>
        <v xml:space="preserve">Execução de solda - Condicionado a temperatura </v>
      </c>
      <c r="U74" s="98">
        <f ca="1">_xlfn.XLOOKUP(G74&amp;$U$2,BS_CONTROLE[CHAVE],BS_CONTROLE[Quantidade_11],"-")</f>
        <v>0</v>
      </c>
      <c r="V74" s="98">
        <f ca="1">_xlfn.XLOOKUP(G74&amp;$V$2,BS_CONTROLE[CHAVE],BS_CONTROLE[Quantidade_11],"-")</f>
        <v>1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IF(FN_MC!Y72="","*",FN_MC!Y72)</f>
        <v>OPORTUNIDADE</v>
      </c>
      <c r="B76" s="95" t="str">
        <f>IF(FN_MC!X72="","*",FN_MC!X72)</f>
        <v>Oportunidade</v>
      </c>
      <c r="C76" s="95" t="str">
        <f>IF(FN_MC!Z72="","*",FN_MC!Z72)</f>
        <v>*</v>
      </c>
      <c r="D76" s="96" t="str">
        <f>IF(FN_MC!S72="","*",FN_MC!S72)</f>
        <v>FERRONORTE</v>
      </c>
      <c r="E76" s="96" t="str">
        <f>IF(FN_MC!T72="","*",FN_MC!T72)</f>
        <v>TMI-TCS</v>
      </c>
      <c r="F76" s="96">
        <f>IF(FN_MC!B72="","*",FN_MC!B72)</f>
        <v>46059</v>
      </c>
      <c r="G76" s="96" t="str">
        <f>IF(FN_MC!D72="","*",FN_MC!D72)</f>
        <v>MARCOS (TF-520)</v>
      </c>
      <c r="H76" s="96" t="str">
        <f>IF(FN_MC!F72="","*",FN_MC!F72)</f>
        <v>PDM - SOLDA</v>
      </c>
      <c r="I76" s="96" t="str">
        <f>IF(FN_MC!H72="","*",FN_MC!H72)</f>
        <v>277TCS</v>
      </c>
      <c r="J76" s="96" t="str">
        <f>IF(FN_MC!I72="","*",FN_MC!I72)</f>
        <v>-</v>
      </c>
      <c r="K76" s="96" t="str">
        <f>IF(FN_MC!M72="","*",FN_MC!M72)</f>
        <v>TJA-TCS</v>
      </c>
      <c r="L76" s="196" t="str">
        <f>IF(FN_MC!N72="","*",FN_MC!N72)</f>
        <v>277TCS</v>
      </c>
      <c r="M76" s="97">
        <f>IF(FN_MC!J72="","*",FN_MC!J72)</f>
        <v>74</v>
      </c>
      <c r="N76" s="183">
        <f>IF(FN_MC!K72="","*",FN_MC!K72)</f>
        <v>278.88900000000001</v>
      </c>
      <c r="O76" s="183" t="str">
        <f>IF(FN_MC!L72="","*",FN_MC!L72)</f>
        <v>-</v>
      </c>
      <c r="P76" s="107">
        <f>IF(FN_MC!O72="","*",FN_MC!O72)</f>
        <v>0.375</v>
      </c>
      <c r="Q76" s="107">
        <f>IF(FN_MC!P72="","*",FN_MC!P72)</f>
        <v>0.125</v>
      </c>
      <c r="R76" s="96" t="str">
        <f>IF(FN_MC!Q72="","*",CONCATENATE(FN_MC!Q72," ",FN_MC!R72))</f>
        <v>2 Nº DE SOLDA</v>
      </c>
      <c r="S76" s="96" t="str">
        <f>IF(FN_MC!V72="","*",FN_MC!V72)</f>
        <v>Hebert</v>
      </c>
      <c r="T76" s="96" t="str">
        <f>IF(FN_MC!W72="","*",FN_MC!W72)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IF(FN_MC!Y74="","*",FN_MC!Y74)</f>
        <v>SIM</v>
      </c>
      <c r="B78" s="95" t="str">
        <f>IF(FN_MC!X74="","*",FN_MC!X74)</f>
        <v>Contrato</v>
      </c>
      <c r="C78" s="95" t="str">
        <f>IF(FN_MC!Z74="","*",FN_MC!Z74)</f>
        <v>*</v>
      </c>
      <c r="D78" s="96" t="str">
        <f>IF(FN_MC!S74="","*",FN_MC!S74)</f>
        <v>FERRONORTE</v>
      </c>
      <c r="E78" s="96" t="str">
        <f>IF(FN_MC!T74="","*",FN_MC!T74)</f>
        <v>TMI-TCS</v>
      </c>
      <c r="F78" s="96">
        <f>IF(FN_MC!B74="","*",FN_MC!B74)</f>
        <v>46059</v>
      </c>
      <c r="G78" s="96" t="str">
        <f>IF(FN_MC!D74="","*",FN_MC!D74)</f>
        <v>W50</v>
      </c>
      <c r="H78" s="96" t="str">
        <f>IF(FN_MC!F74="","*",FN_MC!F74)</f>
        <v>MODERNIZAÇÃO - RECOLHIMENTO DE DORMENTE</v>
      </c>
      <c r="I78" s="96" t="str">
        <f>IF(FN_MC!H74="","*",FN_MC!H74)</f>
        <v>TCS2</v>
      </c>
      <c r="J78" s="96" t="str">
        <f>IF(FN_MC!I74="","*",FN_MC!I74)</f>
        <v>TCS2</v>
      </c>
      <c r="K78" s="96" t="str">
        <f>IF(FN_MC!M74="","*",FN_MC!M74)</f>
        <v>TVI-TJA</v>
      </c>
      <c r="L78" s="196">
        <f>IF(FN_MC!N74="","*",FN_MC!N74)</f>
        <v>239251</v>
      </c>
      <c r="M78" s="97">
        <f>IF(FN_MC!J74="","*",FN_MC!J74)</f>
        <v>74</v>
      </c>
      <c r="N78" s="183">
        <f>IF(FN_MC!K74="","*",FN_MC!K74)</f>
        <v>244.9</v>
      </c>
      <c r="O78" s="183">
        <f>IF(FN_MC!L74="","*",FN_MC!L74)</f>
        <v>244.2</v>
      </c>
      <c r="P78" s="107">
        <f>IF(FN_MC!O74="","*",FN_MC!O74)</f>
        <v>0.35416666666666669</v>
      </c>
      <c r="Q78" s="107">
        <f>IF(FN_MC!P74="","*",FN_MC!P74)</f>
        <v>0.125</v>
      </c>
      <c r="R78" s="96" t="str">
        <f>IF(FN_MC!Q74="","*",CONCATENATE(FN_MC!Q74," ",FN_MC!R74))</f>
        <v>1000 Nº DE DORMENTES</v>
      </c>
      <c r="S78" s="96" t="str">
        <f>IF(FN_MC!V74="","*",FN_MC!V74)</f>
        <v>Augusto/ Efraim</v>
      </c>
      <c r="T78" s="96" t="str">
        <f>IF(FN_MC!W74="","*",FN_MC!W74)</f>
        <v>Recolhimento de dormentes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135</v>
      </c>
      <c r="W78" s="98">
        <f ca="1">_xlfn.XLOOKUP(G78&amp;$W$2,BS_CONTROLE[CHAVE],BS_CONTROLE[Quantidade_11],"-")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-</v>
      </c>
      <c r="E79" s="96" t="str">
        <f>IF(FN_MC!T75="","*",FN_MC!T75)</f>
        <v>-</v>
      </c>
      <c r="F79" s="96" t="str">
        <f>IF(FN_MC!B75="","*",FN_MC!B75)</f>
        <v>*</v>
      </c>
      <c r="G79" s="96" t="str">
        <f>IF(FN_MC!D75="","*",FN_MC!D75)</f>
        <v>*</v>
      </c>
      <c r="H79" s="96" t="str">
        <f>IF(FN_MC!F75="","*",FN_MC!F75)</f>
        <v>*</v>
      </c>
      <c r="I79" s="96" t="str">
        <f>IF(FN_MC!H75="","*",FN_MC!H75)</f>
        <v>*</v>
      </c>
      <c r="J79" s="96" t="str">
        <f>IF(FN_MC!I75="","*",FN_MC!I75)</f>
        <v>*</v>
      </c>
      <c r="K79" s="96" t="str">
        <f>IF(FN_MC!M75="","*",FN_MC!M75)</f>
        <v>-</v>
      </c>
      <c r="L79" s="196" t="str">
        <f>IF(FN_MC!N75="","*",FN_MC!N75)</f>
        <v>-</v>
      </c>
      <c r="M79" s="97" t="str">
        <f>IF(FN_MC!J75="","*",FN_MC!J75)</f>
        <v>*</v>
      </c>
      <c r="N79" s="183" t="str">
        <f>IF(FN_MC!K75="","*",FN_MC!K75)</f>
        <v>*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>*</v>
      </c>
      <c r="T79" s="96" t="str">
        <f>IF(FN_MC!W75="","*",FN_MC!W75)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IF(FN_MC!Y76="","*",FN_MC!Y76)</f>
        <v>OPORTUNIDADE</v>
      </c>
      <c r="B80" s="95" t="str">
        <f>IF(FN_MC!X76="","*",FN_MC!X76)</f>
        <v>Oportunidade</v>
      </c>
      <c r="C80" s="95" t="str">
        <f>IF(FN_MC!Z76="","*",FN_MC!Z76)</f>
        <v>*</v>
      </c>
      <c r="D80" s="96" t="str">
        <f>IF(FN_MC!S76="","*",FN_MC!S76)</f>
        <v>MALHA CENTRAL</v>
      </c>
      <c r="E80" s="96" t="str">
        <f>IF(FN_MC!T76="","*",FN_MC!T76)</f>
        <v>RAMAL</v>
      </c>
      <c r="F80" s="96">
        <f>IF(FN_MC!B76="","*",FN_MC!B76)</f>
        <v>46059</v>
      </c>
      <c r="G80" s="96" t="str">
        <f>IF(FN_MC!D76="","*",FN_MC!D76)</f>
        <v>A88</v>
      </c>
      <c r="H80" s="96" t="str">
        <f>IF(FN_MC!F76="","*",FN_MC!F76)</f>
        <v>INSPEÇÃO AUTO DE LINHA</v>
      </c>
      <c r="I80" s="96" t="str">
        <f>IF(FN_MC!H76="","*",FN_MC!H76)</f>
        <v>ZJU</v>
      </c>
      <c r="J80" s="96" t="str">
        <f>IF(FN_MC!I76="","*",FN_MC!I76)</f>
        <v>ZTP</v>
      </c>
      <c r="K80" s="96" t="str">
        <f>IF(FN_MC!M76="","*",FN_MC!M76)</f>
        <v>ZJU-ZTP</v>
      </c>
      <c r="L80" s="196" t="str">
        <f>IF(FN_MC!N76="","*",FN_MC!N76)</f>
        <v>ZJUZTP</v>
      </c>
      <c r="M80" s="97">
        <f>IF(FN_MC!J76="","*",FN_MC!J76)</f>
        <v>78</v>
      </c>
      <c r="N80" s="183">
        <f>IF(FN_MC!K76="","*",FN_MC!K76)</f>
        <v>275</v>
      </c>
      <c r="O80" s="183">
        <f>IF(FN_MC!L76="","*",FN_MC!L76)</f>
        <v>334</v>
      </c>
      <c r="P80" s="107">
        <f>IF(FN_MC!O76="","*",FN_MC!O76)</f>
        <v>0.375</v>
      </c>
      <c r="Q80" s="107">
        <f>IF(FN_MC!P76="","*",FN_MC!P76)</f>
        <v>4.1666666666666664E-2</v>
      </c>
      <c r="R80" s="96" t="str">
        <f>IF(FN_MC!Q76="","*",CONCATENATE(FN_MC!Q76," ",FN_MC!R76))</f>
        <v>1 BINÁRIO</v>
      </c>
      <c r="S80" s="96" t="str">
        <f>IF(FN_MC!V76="","*",FN_MC!V76)</f>
        <v>Wesley</v>
      </c>
      <c r="T80" s="96" t="str">
        <f>IF(FN_MC!W76="","*",FN_MC!W76)</f>
        <v>Apenas circulação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>
        <f ca="1">_xlfn.XLOOKUP(G80&amp;$W$2,BS_CONTROLE[CHAVE],BS_CONTROLE[Quantidade_11],"-")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1409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1410</v>
      </c>
      <c r="C4" s="191" t="s">
        <v>1411</v>
      </c>
      <c r="D4" s="191" t="s">
        <v>1412</v>
      </c>
      <c r="E4" s="191" t="s">
        <v>1413</v>
      </c>
      <c r="F4" s="191" t="s">
        <v>365</v>
      </c>
      <c r="G4" s="191" t="s">
        <v>1414</v>
      </c>
    </row>
    <row r="5" spans="2:7">
      <c r="B5" s="192" t="s">
        <v>1415</v>
      </c>
      <c r="C5" s="192">
        <v>309525</v>
      </c>
      <c r="D5" s="192" t="s">
        <v>1416</v>
      </c>
      <c r="E5" s="192" t="s">
        <v>249</v>
      </c>
      <c r="F5" s="192" t="s">
        <v>1417</v>
      </c>
      <c r="G5" s="193">
        <v>46296</v>
      </c>
    </row>
    <row r="6" spans="2:7">
      <c r="B6" s="192" t="s">
        <v>1418</v>
      </c>
      <c r="C6" s="192">
        <v>257410</v>
      </c>
      <c r="D6" s="192" t="s">
        <v>1419</v>
      </c>
      <c r="E6" s="192" t="s">
        <v>249</v>
      </c>
      <c r="F6" s="192" t="s">
        <v>1417</v>
      </c>
      <c r="G6" s="193"/>
    </row>
    <row r="7" spans="2:7">
      <c r="B7" s="192" t="s">
        <v>1420</v>
      </c>
      <c r="C7" s="192">
        <v>256875</v>
      </c>
      <c r="D7" s="192" t="s">
        <v>1421</v>
      </c>
      <c r="E7" s="192" t="s">
        <v>249</v>
      </c>
      <c r="F7" s="192" t="s">
        <v>1417</v>
      </c>
      <c r="G7" s="193">
        <v>46296</v>
      </c>
    </row>
    <row r="8" spans="2:7">
      <c r="B8" s="192" t="s">
        <v>1422</v>
      </c>
      <c r="C8" s="192">
        <v>257278</v>
      </c>
      <c r="D8" s="192" t="s">
        <v>1423</v>
      </c>
      <c r="E8" s="192" t="s">
        <v>240</v>
      </c>
      <c r="F8" s="192" t="s">
        <v>1424</v>
      </c>
      <c r="G8" s="193">
        <v>46235</v>
      </c>
    </row>
    <row r="9" spans="2:7">
      <c r="B9" s="192" t="s">
        <v>1425</v>
      </c>
      <c r="C9" s="192">
        <v>261794</v>
      </c>
      <c r="D9" s="192" t="s">
        <v>1426</v>
      </c>
      <c r="E9" s="192" t="s">
        <v>240</v>
      </c>
      <c r="F9" s="192" t="s">
        <v>1424</v>
      </c>
      <c r="G9" s="193">
        <v>46082</v>
      </c>
    </row>
    <row r="10" spans="2:7">
      <c r="B10" s="192" t="s">
        <v>1427</v>
      </c>
      <c r="C10" s="192">
        <v>257033</v>
      </c>
      <c r="D10" s="192" t="s">
        <v>1428</v>
      </c>
      <c r="E10" s="192" t="s">
        <v>240</v>
      </c>
      <c r="F10" s="192" t="s">
        <v>479</v>
      </c>
      <c r="G10" s="192" t="s">
        <v>1429</v>
      </c>
    </row>
    <row r="11" spans="2:7">
      <c r="B11" s="192" t="s">
        <v>1430</v>
      </c>
      <c r="C11" s="192">
        <v>396578</v>
      </c>
      <c r="D11" s="192" t="s">
        <v>1431</v>
      </c>
      <c r="E11" s="192" t="s">
        <v>240</v>
      </c>
      <c r="F11" s="192" t="s">
        <v>479</v>
      </c>
      <c r="G11" s="192" t="s">
        <v>1429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1432</v>
      </c>
      <c r="C2" s="83" t="s">
        <v>1195</v>
      </c>
      <c r="D2" s="83" t="s">
        <v>1197</v>
      </c>
      <c r="E2" s="83" t="s">
        <v>1433</v>
      </c>
      <c r="F2" s="83" t="s">
        <v>1434</v>
      </c>
      <c r="G2" s="83" t="s">
        <v>1435</v>
      </c>
      <c r="H2" s="83" t="s">
        <v>1436</v>
      </c>
      <c r="I2" s="83" t="s">
        <v>1437</v>
      </c>
      <c r="J2" s="83" t="s">
        <v>1438</v>
      </c>
      <c r="K2" s="109" t="s">
        <v>1439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SIM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OPORTUNIDADE</v>
      </c>
      <c r="C69" s="101">
        <f>IF(FN_MC!B67="","*",FN_MC!B67)</f>
        <v>46059</v>
      </c>
      <c r="D69" s="101" t="str">
        <f>IF(FN_MC!D67="","*",FN_MC!D67)</f>
        <v>W70</v>
      </c>
      <c r="E69" s="101" t="str">
        <f>IF(FN_MC!H67="","*",FN_MC!H67)</f>
        <v>TIQ2</v>
      </c>
      <c r="F69" s="114" t="str">
        <f>IF(FN_MC!M67="","*",FN_MC!M67)</f>
        <v>TAL-TSF</v>
      </c>
      <c r="G69" s="101" t="str">
        <f>IF(FN_MC!I67="","*",FN_MC!I67)</f>
        <v>TGR2</v>
      </c>
      <c r="H69" s="101" t="str">
        <f>IF(FN_MC!AB67="","*",FN_MC!AB67)</f>
        <v>FIXO</v>
      </c>
      <c r="I69" s="101" t="str">
        <f>IF(FN_MC!AC67="","*",FN_MC!AC67)</f>
        <v>*</v>
      </c>
      <c r="J69" s="102" t="str">
        <f>IF(FN_MC!AA67="","*",FN_MC!AA67)</f>
        <v>2 (Kleyton e Tiago)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OPORTUNIDADE</v>
      </c>
      <c r="C71" s="101">
        <f>IF(FN_MC!B69="","*",FN_MC!B69)</f>
        <v>46059</v>
      </c>
      <c r="D71" s="101" t="str">
        <f>IF(FN_MC!D69="","*",FN_MC!D69)</f>
        <v>BRUNO (TF-525)</v>
      </c>
      <c r="E71" s="101" t="str">
        <f>IF(FN_MC!H69="","*",FN_MC!H69)</f>
        <v>539TRM</v>
      </c>
      <c r="F71" s="114" t="str">
        <f>IF(FN_MC!M69="","*",FN_MC!M69)</f>
        <v>TBE-TRM</v>
      </c>
      <c r="G71" s="101" t="str">
        <f>IF(FN_MC!I69="","*",FN_MC!I69)</f>
        <v>-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OPORTUNIDADE</v>
      </c>
      <c r="C72" s="101">
        <f>IF(FN_MC!B70="","*",FN_MC!B70)</f>
        <v>46059</v>
      </c>
      <c r="D72" s="101" t="str">
        <f>IF(FN_MC!D70="","*",FN_MC!D70)</f>
        <v>ELSON (TF-526)</v>
      </c>
      <c r="E72" s="101" t="str">
        <f>IF(FN_MC!H70="","*",FN_MC!H70)</f>
        <v>499TGR1</v>
      </c>
      <c r="F72" s="114" t="str">
        <f>IF(FN_MC!M70="","*",FN_MC!M70)</f>
        <v>TBR-TGR</v>
      </c>
      <c r="G72" s="101" t="str">
        <f>IF(FN_MC!I70="","*",FN_MC!I70)</f>
        <v>-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-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OPORTUNIDADE</v>
      </c>
      <c r="C74" s="101">
        <f>IF(FN_MC!B72="","*",FN_MC!B72)</f>
        <v>46059</v>
      </c>
      <c r="D74" s="101" t="str">
        <f>IF(FN_MC!D72="","*",FN_MC!D72)</f>
        <v>MARCOS (TF-520)</v>
      </c>
      <c r="E74" s="101" t="str">
        <f>IF(FN_MC!H72="","*",FN_MC!H72)</f>
        <v>277TCS</v>
      </c>
      <c r="F74" s="114" t="str">
        <f>IF(FN_MC!M72="","*",FN_MC!M72)</f>
        <v>TJA-TCS</v>
      </c>
      <c r="G74" s="101" t="str">
        <f>IF(FN_MC!I72="","*",FN_MC!I72)</f>
        <v>-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-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SIM</v>
      </c>
      <c r="C76" s="101">
        <f>IF(FN_MC!B74="","*",FN_MC!B74)</f>
        <v>46059</v>
      </c>
      <c r="D76" s="101" t="str">
        <f>IF(FN_MC!D74="","*",FN_MC!D74)</f>
        <v>W50</v>
      </c>
      <c r="E76" s="101" t="str">
        <f>IF(FN_MC!H74="","*",FN_MC!H74)</f>
        <v>TCS2</v>
      </c>
      <c r="F76" s="114" t="str">
        <f>IF(FN_MC!M74="","*",FN_MC!M74)</f>
        <v>TVI-TJA</v>
      </c>
      <c r="G76" s="101" t="str">
        <f>IF(FN_MC!I74="","*",FN_MC!I74)</f>
        <v>TCS2</v>
      </c>
      <c r="H76" s="101" t="str">
        <f>IF(FN_MC!AB74="","*",FN_MC!AB74)</f>
        <v>FIXO</v>
      </c>
      <c r="I76" s="101" t="str">
        <f>IF(FN_MC!AC74="","*",FN_MC!AC74)</f>
        <v>*</v>
      </c>
      <c r="J76" s="102" t="str">
        <f>IF(FN_MC!AA74="","*",FN_MC!AA74)</f>
        <v>2 (Eder e Maicon)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*</v>
      </c>
      <c r="E77" s="101" t="str">
        <f>IF(FN_MC!H75="","*",FN_MC!H75)</f>
        <v>*</v>
      </c>
      <c r="F77" s="114" t="str">
        <f>IF(FN_MC!M75="","*",FN_MC!M75)</f>
        <v>-</v>
      </c>
      <c r="G77" s="101" t="str">
        <f>IF(FN_MC!I75="","*",FN_MC!I75)</f>
        <v>*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OPORTUNIDADE</v>
      </c>
      <c r="C78" s="101">
        <f>IF(FN_MC!B76="","*",FN_MC!B76)</f>
        <v>46059</v>
      </c>
      <c r="D78" s="101" t="str">
        <f>IF(FN_MC!D76="","*",FN_MC!D76)</f>
        <v>A88</v>
      </c>
      <c r="E78" s="101" t="str">
        <f>IF(FN_MC!H76="","*",FN_MC!H76)</f>
        <v>ZJU</v>
      </c>
      <c r="F78" s="114" t="str">
        <f>IF(FN_MC!M76="","*",FN_MC!M76)</f>
        <v>ZJU-ZTP</v>
      </c>
      <c r="G78" s="101" t="str">
        <f>IF(FN_MC!I76="","*",FN_MC!I76)</f>
        <v>ZTP</v>
      </c>
      <c r="H78" s="101" t="str">
        <f>IF(FN_MC!AB76="","*",FN_MC!AB76)</f>
        <v>FIXO</v>
      </c>
      <c r="I78" s="101" t="str">
        <f>IF(FN_MC!AC76="","*",FN_MC!AC76)</f>
        <v>*</v>
      </c>
      <c r="J78" s="102">
        <f>IF(FN_MC!AA76="","*",FN_MC!AA76)</f>
        <v>1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1440</v>
      </c>
      <c r="D5" s="270"/>
      <c r="E5" s="270"/>
      <c r="F5" s="270"/>
      <c r="G5" s="270"/>
      <c r="H5" s="270"/>
      <c r="I5" s="270"/>
      <c r="J5" s="271"/>
      <c r="K5" s="272" t="s">
        <v>1441</v>
      </c>
      <c r="L5" s="273"/>
      <c r="M5" s="273"/>
      <c r="N5" s="273"/>
      <c r="O5" s="274" t="s">
        <v>1442</v>
      </c>
      <c r="P5" s="275"/>
      <c r="Q5" s="276"/>
    </row>
    <row r="6" spans="1:17" s="81" customFormat="1" ht="15.75" customHeight="1">
      <c r="A6" s="75" t="s">
        <v>1407</v>
      </c>
      <c r="B6" s="82" t="s">
        <v>1406</v>
      </c>
      <c r="C6" s="83" t="s">
        <v>1210</v>
      </c>
      <c r="D6" s="84" t="s">
        <v>1211</v>
      </c>
      <c r="E6" s="83" t="s">
        <v>1443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1444</v>
      </c>
      <c r="M6" s="116" t="s">
        <v>29</v>
      </c>
      <c r="N6" s="117" t="s">
        <v>1205</v>
      </c>
      <c r="O6" s="165" t="s">
        <v>1248</v>
      </c>
      <c r="P6" s="128"/>
      <c r="Q6" s="139" t="s">
        <v>1445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1</v>
      </c>
      <c r="P51" s="78"/>
      <c r="Q51" s="120" t="str">
        <f>IF($A$2=1,IF(FN_MC!BJ45="","*",FN_MC!BJ45),IF(FN_MC!BK45="","*",FN_MC!BK45))</f>
        <v>*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Sem oportunidade devido circulação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2</v>
      </c>
      <c r="P53" s="78"/>
      <c r="Q53" s="120" t="str">
        <f>IF($A$2=1,IF(FN_MC!BJ47="","*",FN_MC!BJ47),IF(FN_MC!BK47="","*",FN_MC!BK47))</f>
        <v>Realizou deslocamento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1</v>
      </c>
      <c r="P55" s="78"/>
      <c r="Q55" s="120" t="str">
        <f>IF($A$2=1,IF(FN_MC!BJ49="","*",FN_MC!BJ49),IF(FN_MC!BK49="","*",FN_MC!BK49))</f>
        <v>*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1</v>
      </c>
      <c r="P58" s="78"/>
      <c r="Q58" s="120" t="str">
        <f>IF($A$2=1,IF(FN_MC!BJ52="","*",FN_MC!BJ52),IF(FN_MC!BK52="","*",FN_MC!BK52))</f>
        <v>*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Sem oportunidade devido circulação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2</v>
      </c>
      <c r="P64" s="78"/>
      <c r="Q64" s="120" t="str">
        <f>IF($A$2=1,IF(FN_MC!BJ58="","*",FN_MC!BJ58),IF(FN_MC!BK58="","*",FN_MC!BK58))</f>
        <v>Realizado inspeção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2</v>
      </c>
      <c r="P66" s="78"/>
      <c r="Q66" s="120" t="str">
        <f>IF($A$2=1,IF(FN_MC!BJ60="","*",FN_MC!BJ60),IF(FN_MC!BK60="","*",FN_MC!BK60))</f>
        <v>Realizado inspeção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>
        <f>IF(FN_MC!B67="","*",FN_MC!B67)</f>
        <v>46059</v>
      </c>
      <c r="B73" s="86" t="str">
        <f>IF(FN_MC!X67="","*",FN_MC!X67)</f>
        <v>Oportunidade</v>
      </c>
      <c r="C73" s="87" t="str">
        <f>IF(FN_MC!S67="","*",FN_MC!S67)</f>
        <v>FERRONORTE</v>
      </c>
      <c r="D73" s="87" t="str">
        <f>IF(FN_MC!T67="","*",FN_MC!T67)</f>
        <v>TGR-TRO</v>
      </c>
      <c r="E73" s="87" t="str">
        <f>IF(FN_MC!D67="","*",FN_MC!D67)</f>
        <v>W70</v>
      </c>
      <c r="F73" s="87" t="str">
        <f>IF(FN_MC!H67="","*",FN_MC!H67)</f>
        <v>TIQ2</v>
      </c>
      <c r="G73" s="87" t="str">
        <f>IF(FN_MC!M67="","*",FN_MC!M67)</f>
        <v>TAL-TSF</v>
      </c>
      <c r="H73" s="125">
        <f>IF(FN_MC!K67="","*",FN_MC!K67)</f>
        <v>700</v>
      </c>
      <c r="I73" s="110">
        <f>IF(FN_MC!O67="","*",FN_MC!O67)</f>
        <v>0.41666666666666669</v>
      </c>
      <c r="J73" s="110">
        <f>IF(FN_MC!P67="","*",FN_MC!P67)</f>
        <v>0.125</v>
      </c>
      <c r="K73" s="118" t="str">
        <f>IF(FN_MC!AK67="","*",FN_MC!AK67)</f>
        <v>TIQ2</v>
      </c>
      <c r="L73" s="118" t="str">
        <f>IF(FN_MC!AM67="","*",FN_MC!AM67)</f>
        <v>TAL-TSF</v>
      </c>
      <c r="M73" s="118">
        <f>IF(FN_MC!AP67="","*",FN_MC!AP67)</f>
        <v>700</v>
      </c>
      <c r="N73" s="118" t="str">
        <f>IF(FN_MC!AM67="","*",FN_MC!AM67)</f>
        <v>TAL-TSF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>
        <f>IF(FN_MC!B69="","*",FN_MC!B69)</f>
        <v>46059</v>
      </c>
      <c r="B75" s="86" t="str">
        <f>IF(FN_MC!X69="","*",FN_MC!X69)</f>
        <v>Oportunidade</v>
      </c>
      <c r="C75" s="87" t="str">
        <f>IF(FN_MC!S69="","*",FN_MC!S69)</f>
        <v>FERRONORTE</v>
      </c>
      <c r="D75" s="87" t="str">
        <f>IF(FN_MC!T69="","*",FN_MC!T69)</f>
        <v>TGR-TRO</v>
      </c>
      <c r="E75" s="87" t="str">
        <f>IF(FN_MC!D69="","*",FN_MC!D69)</f>
        <v>BRUNO (TF-525)</v>
      </c>
      <c r="F75" s="87" t="str">
        <f>IF(FN_MC!H69="","*",FN_MC!H69)</f>
        <v>539TRM</v>
      </c>
      <c r="G75" s="87" t="str">
        <f>IF(FN_MC!M69="","*",FN_MC!M69)</f>
        <v>TBE-TRM</v>
      </c>
      <c r="H75" s="125">
        <f>IF(FN_MC!K69="","*",FN_MC!K69)</f>
        <v>548.14499999999998</v>
      </c>
      <c r="I75" s="110">
        <f>IF(FN_MC!O69="","*",FN_MC!O69)</f>
        <v>0.375</v>
      </c>
      <c r="J75" s="110">
        <f>IF(FN_MC!P69="","*",FN_MC!P69)</f>
        <v>0.125</v>
      </c>
      <c r="K75" s="118" t="str">
        <f>IF(FN_MC!AK69="","*",FN_MC!AK69)</f>
        <v>539TRM</v>
      </c>
      <c r="L75" s="118" t="str">
        <f>IF(FN_MC!AM69="","*",FN_MC!AM69)</f>
        <v>TBE-TRM</v>
      </c>
      <c r="M75" s="118">
        <f>IF(FN_MC!AP69="","*",FN_MC!AP69)</f>
        <v>548.14499999999998</v>
      </c>
      <c r="N75" s="118" t="str">
        <f>IF(FN_MC!AM69="","*",FN_MC!AM69)</f>
        <v>TBE-TRM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>
        <f>IF(FN_MC!B70="","*",FN_MC!B70)</f>
        <v>46059</v>
      </c>
      <c r="B76" s="86" t="str">
        <f>IF(FN_MC!X70="","*",FN_MC!X70)</f>
        <v>Oportunidade</v>
      </c>
      <c r="C76" s="87" t="str">
        <f>IF(FN_MC!S70="","*",FN_MC!S70)</f>
        <v>FERRONORTE</v>
      </c>
      <c r="D76" s="87" t="str">
        <f>IF(FN_MC!T70="","*",FN_MC!T70)</f>
        <v>TCS-TGR</v>
      </c>
      <c r="E76" s="87" t="str">
        <f>IF(FN_MC!D70="","*",FN_MC!D70)</f>
        <v>ELSON (TF-526)</v>
      </c>
      <c r="F76" s="87" t="str">
        <f>IF(FN_MC!H70="","*",FN_MC!H70)</f>
        <v>499TGR1</v>
      </c>
      <c r="G76" s="87" t="str">
        <f>IF(FN_MC!M70="","*",FN_MC!M70)</f>
        <v>TBR-TGR</v>
      </c>
      <c r="H76" s="125">
        <f>IF(FN_MC!K70="","*",FN_MC!K70)</f>
        <v>498.9</v>
      </c>
      <c r="I76" s="110">
        <f>IF(FN_MC!O70="","*",FN_MC!O70)</f>
        <v>0.41666666666666669</v>
      </c>
      <c r="J76" s="110">
        <f>IF(FN_MC!P70="","*",FN_MC!P70)</f>
        <v>8.3333333333333329E-2</v>
      </c>
      <c r="K76" s="118" t="str">
        <f>IF(FN_MC!AK70="","*",FN_MC!AK70)</f>
        <v>499TGR1</v>
      </c>
      <c r="L76" s="118" t="str">
        <f>IF(FN_MC!AM70="","*",FN_MC!AM70)</f>
        <v>TBR-TGR</v>
      </c>
      <c r="M76" s="118">
        <f>IF(FN_MC!AP70="","*",FN_MC!AP70)</f>
        <v>498.9</v>
      </c>
      <c r="N76" s="118" t="str">
        <f>IF(FN_MC!AM70="","*",FN_MC!AM70)</f>
        <v>TBR-TGR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>
        <f>IF(FN_MC!B72="","*",FN_MC!B72)</f>
        <v>46059</v>
      </c>
      <c r="B78" s="86" t="str">
        <f>IF(FN_MC!X72="","*",FN_MC!X72)</f>
        <v>Oportunidade</v>
      </c>
      <c r="C78" s="87" t="str">
        <f>IF(FN_MC!S72="","*",FN_MC!S72)</f>
        <v>FERRONORTE</v>
      </c>
      <c r="D78" s="87" t="str">
        <f>IF(FN_MC!T72="","*",FN_MC!T72)</f>
        <v>TMI-TCS</v>
      </c>
      <c r="E78" s="87" t="str">
        <f>IF(FN_MC!D72="","*",FN_MC!D72)</f>
        <v>MARCOS (TF-520)</v>
      </c>
      <c r="F78" s="87" t="str">
        <f>IF(FN_MC!H72="","*",FN_MC!H72)</f>
        <v>277TCS</v>
      </c>
      <c r="G78" s="87" t="str">
        <f>IF(FN_MC!M72="","*",FN_MC!M72)</f>
        <v>TJA-TCS</v>
      </c>
      <c r="H78" s="125">
        <f>IF(FN_MC!K72="","*",FN_MC!K72)</f>
        <v>278.88900000000001</v>
      </c>
      <c r="I78" s="110">
        <f>IF(FN_MC!O72="","*",FN_MC!O72)</f>
        <v>0.375</v>
      </c>
      <c r="J78" s="110">
        <f>IF(FN_MC!P72="","*",FN_MC!P72)</f>
        <v>0.125</v>
      </c>
      <c r="K78" s="118" t="str">
        <f>IF(FN_MC!AK72="","*",FN_MC!AK72)</f>
        <v>277TCS</v>
      </c>
      <c r="L78" s="118" t="str">
        <f>IF(FN_MC!AM72="","*",FN_MC!AM72)</f>
        <v>TJA-TCS</v>
      </c>
      <c r="M78" s="118">
        <f>IF(FN_MC!AP72="","*",FN_MC!AP72)</f>
        <v>278.88900000000001</v>
      </c>
      <c r="N78" s="118" t="str">
        <f>IF(FN_MC!AM72="","*",FN_MC!AM72)</f>
        <v>TJA-TCS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>
        <f>IF(FN_MC!B74="","*",FN_MC!B74)</f>
        <v>46059</v>
      </c>
      <c r="B80" s="86" t="str">
        <f>IF(FN_MC!X74="","*",FN_MC!X74)</f>
        <v>Contrato</v>
      </c>
      <c r="C80" s="87" t="str">
        <f>IF(FN_MC!S74="","*",FN_MC!S74)</f>
        <v>FERRONORTE</v>
      </c>
      <c r="D80" s="87" t="str">
        <f>IF(FN_MC!T74="","*",FN_MC!T74)</f>
        <v>TMI-TCS</v>
      </c>
      <c r="E80" s="87" t="str">
        <f>IF(FN_MC!D74="","*",FN_MC!D74)</f>
        <v>W50</v>
      </c>
      <c r="F80" s="87" t="str">
        <f>IF(FN_MC!H74="","*",FN_MC!H74)</f>
        <v>TCS2</v>
      </c>
      <c r="G80" s="87" t="str">
        <f>IF(FN_MC!M74="","*",FN_MC!M74)</f>
        <v>TVI-TJA</v>
      </c>
      <c r="H80" s="125">
        <f>IF(FN_MC!K74="","*",FN_MC!K74)</f>
        <v>244.9</v>
      </c>
      <c r="I80" s="110">
        <f>IF(FN_MC!O74="","*",FN_MC!O74)</f>
        <v>0.35416666666666669</v>
      </c>
      <c r="J80" s="110">
        <f>IF(FN_MC!P74="","*",FN_MC!P74)</f>
        <v>0.125</v>
      </c>
      <c r="K80" s="118" t="str">
        <f>IF(FN_MC!AK74="","*",FN_MC!AK74)</f>
        <v>TCS2</v>
      </c>
      <c r="L80" s="118" t="str">
        <f>IF(FN_MC!AM74="","*",FN_MC!AM74)</f>
        <v>TVI-TJA</v>
      </c>
      <c r="M80" s="118">
        <f>IF(FN_MC!AP74="","*",FN_MC!AP74)</f>
        <v>244.9</v>
      </c>
      <c r="N80" s="118" t="str">
        <f>IF(FN_MC!AM74="","*",FN_MC!AM74)</f>
        <v>TVI-TJA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-</v>
      </c>
      <c r="D81" s="87" t="str">
        <f>IF(FN_MC!T75="","*",FN_MC!T75)</f>
        <v>-</v>
      </c>
      <c r="E81" s="87" t="str">
        <f>IF(FN_MC!D75="","*",FN_MC!D75)</f>
        <v>*</v>
      </c>
      <c r="F81" s="87" t="str">
        <f>IF(FN_MC!H75="","*",FN_MC!H75)</f>
        <v>*</v>
      </c>
      <c r="G81" s="87" t="str">
        <f>IF(FN_MC!M75="","*",FN_MC!M75)</f>
        <v>-</v>
      </c>
      <c r="H81" s="125" t="str">
        <f>IF(FN_MC!K75="","*",FN_MC!K75)</f>
        <v>*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-</v>
      </c>
      <c r="L81" s="118" t="str">
        <f>IF(FN_MC!AM75="","*",FN_MC!AM75)</f>
        <v>-</v>
      </c>
      <c r="M81" s="118" t="str">
        <f>IF(FN_MC!AP75="","*",FN_MC!AP75)</f>
        <v>-</v>
      </c>
      <c r="N81" s="118" t="str">
        <f>IF(FN_MC!AM75="","*",FN_MC!AM75)</f>
        <v>-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>
        <f>IF(FN_MC!B76="","*",FN_MC!B76)</f>
        <v>46059</v>
      </c>
      <c r="B82" s="86" t="str">
        <f>IF(FN_MC!X76="","*",FN_MC!X76)</f>
        <v>Oportunidade</v>
      </c>
      <c r="C82" s="87" t="str">
        <f>IF(FN_MC!S76="","*",FN_MC!S76)</f>
        <v>MALHA CENTRAL</v>
      </c>
      <c r="D82" s="87" t="str">
        <f>IF(FN_MC!T76="","*",FN_MC!T76)</f>
        <v>RAMAL</v>
      </c>
      <c r="E82" s="87" t="str">
        <f>IF(FN_MC!D76="","*",FN_MC!D76)</f>
        <v>A88</v>
      </c>
      <c r="F82" s="87" t="str">
        <f>IF(FN_MC!H76="","*",FN_MC!H76)</f>
        <v>ZJU</v>
      </c>
      <c r="G82" s="87" t="str">
        <f>IF(FN_MC!M76="","*",FN_MC!M76)</f>
        <v>ZJU-ZTP</v>
      </c>
      <c r="H82" s="125">
        <f>IF(FN_MC!K76="","*",FN_MC!K76)</f>
        <v>275</v>
      </c>
      <c r="I82" s="110">
        <f>IF(FN_MC!O76="","*",FN_MC!O76)</f>
        <v>0.375</v>
      </c>
      <c r="J82" s="110">
        <f>IF(FN_MC!P76="","*",FN_MC!P76)</f>
        <v>4.1666666666666664E-2</v>
      </c>
      <c r="K82" s="118" t="str">
        <f>IF(FN_MC!AK76="","*",FN_MC!AK76)</f>
        <v>ZJU</v>
      </c>
      <c r="L82" s="118" t="str">
        <f>IF(FN_MC!AM76="","*",FN_MC!AM76)</f>
        <v>ZJU-ZTP</v>
      </c>
      <c r="M82" s="118">
        <f>IF(FN_MC!AP76="","*",FN_MC!AP76)</f>
        <v>275</v>
      </c>
      <c r="N82" s="118" t="str">
        <f>IF(FN_MC!AM76="","*",FN_MC!AM76)</f>
        <v>ZJU-ZTP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2026-02-06T03:21:01Z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