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11" documentId="8_{B6337239-1A00-434D-AAD0-422EA1FEB5AE}" xr6:coauthVersionLast="47" xr6:coauthVersionMax="47" xr10:uidLastSave="{A547315B-C847-4CEB-AA40-22A55C35E66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" i="1" l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R155" i="16" s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R160" i="16" s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49" i="16" s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R157" i="16" s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52" i="16" s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T57" i="1" a="1"/>
  <c r="T57" i="1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 s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R134" i="16" s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R135" i="16" s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36" i="16" s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R137" i="16" s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R138" i="16" s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R139" i="16" s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40" i="16" s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R142" i="16" s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43" i="16" s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46" i="16" s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47" i="16" s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48" i="16" s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R150" i="16" s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R151" i="16" s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R154" i="16" s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R156" i="16" s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R158" i="16" s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R159" i="16" s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R161" i="16" s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R162" i="16" s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R163" i="16" s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64" i="16" s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55" i="1" l="1"/>
  <c r="AJ154" i="1"/>
  <c r="BB78" i="1"/>
  <c r="BD64" i="1" a="1"/>
  <c r="BD64" i="1" s="1"/>
  <c r="L55" i="16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L81" i="11" s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K98" i="16"/>
  <c r="AM94" i="1"/>
  <c r="L97" i="11" s="1"/>
  <c r="K97" i="16"/>
  <c r="AM93" i="1"/>
  <c r="K96" i="16"/>
  <c r="AM92" i="1"/>
  <c r="N95" i="11" s="1"/>
  <c r="K95" i="16"/>
  <c r="AM90" i="1"/>
  <c r="L94" i="11" s="1"/>
  <c r="K94" i="16"/>
  <c r="K93" i="16"/>
  <c r="AM89" i="1"/>
  <c r="N92" i="11" s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29" i="11" l="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<sst xmlns="http://schemas.openxmlformats.org/spreadsheetml/2006/main" count="5683" uniqueCount="1566">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</sst>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C1" activePane="topRight" state="frozen"/>
      <selection pane="topRight" activeCell="AD155" sqref="AD155:AG1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1514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44" t="str">
        <f t="shared" si="14"/>
        <v>W7046092</v>
      </c>
      <c r="B155" s="133">
        <v>46092</v>
      </c>
      <c r="C155" s="7">
        <f>IF(BS_CONTROLE[[#This Row],[DATA]]="","",WEEKNUM(BS_CONTROLE[[#This Row],[DATA]]))</f>
        <v>11</v>
      </c>
      <c r="D155" s="45" t="s">
        <v>249</v>
      </c>
      <c r="E155" s="185">
        <v>172</v>
      </c>
      <c r="F155" s="134" t="s">
        <v>186</v>
      </c>
      <c r="G155" s="8" t="str">
        <f>IF(D155="","*",VLOOKUP(F155,BS_ATIVIDADE[#All],3,FALSE))</f>
        <v>PEDRA</v>
      </c>
      <c r="H155" s="135" t="s">
        <v>708</v>
      </c>
      <c r="I155" s="135" t="s">
        <v>708</v>
      </c>
      <c r="J155" s="151">
        <v>74</v>
      </c>
      <c r="K155" s="151">
        <v>441</v>
      </c>
      <c r="L155" s="71">
        <v>446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5" s="135">
        <v>0.41666666666666669</v>
      </c>
      <c r="P155" s="135">
        <v>8.3333333333333329E-2</v>
      </c>
      <c r="Q155" s="71">
        <v>17</v>
      </c>
      <c r="R155" s="9" t="str">
        <f>IFERROR(_xlfn.XLOOKUP(F155, BS_ATIVIDADE[ATIVIDADE],BS_ATIVIDADE[UNIDADE] ), "*")</f>
        <v>VAGÕES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9" t="str">
        <f>IFERROR(_xlfn.XLOOKUP(J155, BASE_MAPA!$B$2:$B$408, BASE_MAPA!$G$2:$G$408), "ERRO")</f>
        <v>MARCO INICIAL - ALTO ARAGUAIA</v>
      </c>
      <c r="V155" s="143" t="s">
        <v>1249</v>
      </c>
      <c r="W155" s="135" t="s">
        <v>1492</v>
      </c>
      <c r="X155" s="152" t="s">
        <v>379</v>
      </c>
      <c r="Y155" s="129"/>
      <c r="Z155" s="129"/>
      <c r="AA155" s="71" t="s">
        <v>1378</v>
      </c>
      <c r="AB155" s="59" t="s">
        <v>371</v>
      </c>
      <c r="AC155" s="59" t="s">
        <v>366</v>
      </c>
      <c r="AD155" s="135">
        <v>0.29166666666666669</v>
      </c>
      <c r="AE155" s="71">
        <v>9292</v>
      </c>
      <c r="AF155" s="71">
        <v>9425</v>
      </c>
      <c r="AG155" s="71">
        <v>7632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5" t="str">
        <f>IF(BS_CONTROLE[[#This Row],[Local - Partida]]=0, "-", BS_CONTROLE[[#This Row],[Local - Partida]])</f>
        <v>TGR</v>
      </c>
      <c r="AL155" s="175" t="str">
        <f>IF(BS_CONTROLE[[#This Row],[Local - Encerramento]]=0, "-", BS_CONTROLE[[#This Row],[Local - Encerramento]])</f>
        <v>TGR</v>
      </c>
      <c r="AM155" s="175" t="str">
        <f>IF(BS_CONTROLE[[#This Row],[Entre - Estações]]=0, "-", BS_CONTROLE[[#This Row],[Entre - Estações]])</f>
        <v>TPC-TVL</v>
      </c>
      <c r="AN155" s="175" t="str">
        <f>IF(BS_CONTROLE[[#This Row],[SB]]=0, "-", BS_CONTROLE[[#This Row],[SB]])</f>
        <v>440TVL</v>
      </c>
      <c r="AO155" s="176">
        <f>IF(BS_CONTROLE[[#This Row],[SUB]]=0, "-", BS_CONTROLE[[#This Row],[SUB]])</f>
        <v>74</v>
      </c>
      <c r="AP155" s="177">
        <f>IF(BS_CONTROLE[[#This Row],[KM - Inicio]]=0, "-", BS_CONTROLE[[#This Row],[KM - Inicio]])</f>
        <v>441</v>
      </c>
      <c r="AQ155" s="177">
        <f>IF(BS_CONTROLE[[#This Row],[KM - Fim]]=0, "-", BS_CONTROLE[[#This Row],[KM - Fim]])</f>
        <v>446</v>
      </c>
      <c r="AR155" s="32"/>
      <c r="AS155" s="32"/>
      <c r="AT155" s="32"/>
      <c r="AU155" s="32"/>
      <c r="AV155" s="32"/>
      <c r="AW155" s="32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200" t="str">
        <f>IFERROR(_xlfn.XLOOKUP(AO155, BASE_MAPA!$B$2:$B$408, BASE_MAPA!$G$2:$G$408), "ERRO")</f>
        <v>MARCO INICIAL - ALTO ARAGUAIA</v>
      </c>
      <c r="BF155" s="178" t="str">
        <f>IF(BS_CONTROLE[[#This Row],[Responsavel pelo boletim]]=0, "-", BS_CONTROLE[[#This Row],[Responsavel pelo boletim]])</f>
        <v>Elton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Produção e Intervalo</v>
      </c>
      <c r="BR155" s="15">
        <f t="shared" si="16"/>
        <v>0</v>
      </c>
      <c r="BS155" s="15">
        <f t="shared" si="17"/>
        <v>0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1515</v>
      </c>
    </row>
  </sheetData>
  <protectedRanges>
    <protectedRange sqref="J6:K6 J25:K778" name="Range1_8_1"/>
    <protectedRange sqref="O6:Q6 O25:Q778" name="Range1_9_1"/>
    <protectedRange sqref="V6:Y6 W24 V84 X84:Y84 V103 X103 V104:X110 Y103:Y110 V85:Y102 V25:Y83 V111:Y778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78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1517</v>
      </c>
      <c r="E3" s="186" t="s">
        <v>1518</v>
      </c>
      <c r="F3" s="186" t="s">
        <v>1519</v>
      </c>
      <c r="G3" s="186" t="s">
        <v>1520</v>
      </c>
      <c r="H3" s="186" t="s">
        <v>1521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1523</v>
      </c>
      <c r="D13" s="187">
        <v>9049</v>
      </c>
      <c r="E13" s="188">
        <v>46044</v>
      </c>
      <c r="F13" s="190" t="s">
        <v>1524</v>
      </c>
      <c r="G13" s="187" t="s">
        <v>1525</v>
      </c>
      <c r="H13" s="187"/>
    </row>
    <row r="14" spans="3:8">
      <c r="C14" s="187" t="s">
        <v>1523</v>
      </c>
      <c r="D14" s="187">
        <v>9044</v>
      </c>
      <c r="E14" s="188">
        <v>46044</v>
      </c>
      <c r="F14" s="190" t="s">
        <v>1526</v>
      </c>
      <c r="G14" s="187" t="s">
        <v>1527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1528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1528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1529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1530</v>
      </c>
      <c r="C4" s="191" t="s">
        <v>1531</v>
      </c>
      <c r="D4" s="191" t="s">
        <v>1532</v>
      </c>
      <c r="E4" s="191" t="s">
        <v>1533</v>
      </c>
      <c r="F4" s="191" t="s">
        <v>548</v>
      </c>
      <c r="G4" s="191" t="s">
        <v>1534</v>
      </c>
    </row>
    <row r="5" spans="2:7">
      <c r="B5" s="192" t="s">
        <v>1535</v>
      </c>
      <c r="C5" s="192">
        <v>309525</v>
      </c>
      <c r="D5" s="192" t="s">
        <v>1536</v>
      </c>
      <c r="E5" s="192" t="s">
        <v>249</v>
      </c>
      <c r="F5" s="192" t="s">
        <v>1537</v>
      </c>
      <c r="G5" s="193">
        <v>46296</v>
      </c>
    </row>
    <row r="6" spans="2:7">
      <c r="B6" s="192" t="s">
        <v>1538</v>
      </c>
      <c r="C6" s="192">
        <v>257410</v>
      </c>
      <c r="D6" s="192" t="s">
        <v>1539</v>
      </c>
      <c r="E6" s="192" t="s">
        <v>249</v>
      </c>
      <c r="F6" s="192" t="s">
        <v>1537</v>
      </c>
      <c r="G6" s="193"/>
    </row>
    <row r="7" spans="2:7">
      <c r="B7" s="192" t="s">
        <v>1260</v>
      </c>
      <c r="C7" s="192">
        <v>256875</v>
      </c>
      <c r="D7" s="192" t="s">
        <v>1540</v>
      </c>
      <c r="E7" s="192" t="s">
        <v>249</v>
      </c>
      <c r="F7" s="192" t="s">
        <v>1537</v>
      </c>
      <c r="G7" s="193">
        <v>46296</v>
      </c>
    </row>
    <row r="8" spans="2:7">
      <c r="B8" s="192" t="s">
        <v>1541</v>
      </c>
      <c r="C8" s="192">
        <v>257278</v>
      </c>
      <c r="D8" s="192" t="s">
        <v>1542</v>
      </c>
      <c r="E8" s="192" t="s">
        <v>240</v>
      </c>
      <c r="F8" s="192" t="s">
        <v>1543</v>
      </c>
      <c r="G8" s="193">
        <v>46235</v>
      </c>
    </row>
    <row r="9" spans="2:7">
      <c r="B9" s="192" t="s">
        <v>1544</v>
      </c>
      <c r="C9" s="192">
        <v>257033</v>
      </c>
      <c r="D9" s="192" t="s">
        <v>1545</v>
      </c>
      <c r="E9" s="192" t="s">
        <v>240</v>
      </c>
      <c r="F9" s="192" t="s">
        <v>565</v>
      </c>
      <c r="G9" s="192" t="s">
        <v>1546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909" sqref="H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1548</v>
      </c>
      <c r="B2" s="91" t="s">
        <v>1549</v>
      </c>
      <c r="C2" s="91" t="s">
        <v>7</v>
      </c>
      <c r="D2" s="92" t="s">
        <v>1176</v>
      </c>
      <c r="E2" s="92" t="s">
        <v>548</v>
      </c>
      <c r="F2" s="92" t="s">
        <v>1550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>
        <f ca="1">_xlfn.XLOOKUP(G43&amp;$U$2,BS_CONTROLE[CHAVE],BS_CONTROLE[Quantidade_11],"-")</f>
        <v>0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35260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1607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358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>
        <f ca="1">_xlfn.XLOOKUP(G51&amp;$U$2,BS_CONTROLE[CHAVE],BS_CONTROLE[Quantidade_11],"-")</f>
        <v>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>
        <f ca="1">_xlfn.XLOOKUP(G62&amp;$U$2,BS_CONTROLE[CHAVE],BS_CONTROLE[Quantidade_11],"-")</f>
        <v>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35260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1607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358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>
        <f ca="1">_xlfn.XLOOKUP(G67&amp;$U$2,BS_CONTROLE[CHAVE],BS_CONTROLE[Quantidade_11],"-")</f>
        <v>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>
        <f ca="1">_xlfn.XLOOKUP(G69&amp;$U$2,BS_CONTROLE[CHAVE],BS_CONTROLE[Quantidade_11],"-")</f>
        <v>2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>
        <f>IF(FN_MC!F73="","*",FN_MC!F73)</f>
        <v>98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>
        <f ca="1">_xlfn.XLOOKUP(G78&amp;$U$2,BS_CONTROLE[CHAVE],BS_CONTROLE[Quantidade_11],"-")</f>
        <v>0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35260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1607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358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>
        <f ca="1">_xlfn.XLOOKUP(G92&amp;$U$2,BS_CONTROLE[CHAVE],BS_CONTROLE[Quantidade_11],"-")</f>
        <v>2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>
        <f ca="1">_xlfn.XLOOKUP(G94&amp;$U$2,BS_CONTROLE[CHAVE],BS_CONTROLE[Quantidade_11],"-")</f>
        <v>2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 t="str">
        <f ca="1">_xlfn.XLOOKUP(G95&amp;$U$2,BS_CONTROLE[CHAVE],BS_CONTROLE[Quantidade_11],"-")</f>
        <v>-</v>
      </c>
      <c r="V95" s="98">
        <f ca="1">_xlfn.XLOOKUP(G95&amp;$V$2,BS_CONTROLE[CHAVE],BS_CONTROLE[Quantidade_11],"-")</f>
        <v>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1500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>
        <f ca="1">_xlfn.XLOOKUP(G97&amp;$U$2,BS_CONTROLE[CHAVE],BS_CONTROLE[Quantidade_11],"-")</f>
        <v>0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35260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1607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358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>
        <f ca="1">_xlfn.XLOOKUP(G111&amp;$U$2,BS_CONTROLE[CHAVE],BS_CONTROLE[Quantidade_11],"-")</f>
        <v>2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 t="str">
        <f ca="1">_xlfn.XLOOKUP(G114&amp;$U$2,BS_CONTROLE[CHAVE],BS_CONTROLE[Quantidade_11],"-")</f>
        <v>-</v>
      </c>
      <c r="V114" s="98">
        <f ca="1">_xlfn.XLOOKUP(G114&amp;$V$2,BS_CONTROLE[CHAVE],BS_CONTROLE[Quantidade_11],"-")</f>
        <v>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0</v>
      </c>
      <c r="W116" s="98">
        <f ca="1">_xlfn.XLOOKUP(G116&amp;$W$2,BS_CONTROLE[CHAVE],BS_CONTROLE[Quantidade_11],"-")</f>
        <v>1500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35260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1607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358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0</v>
      </c>
      <c r="W128" s="98">
        <f ca="1">_xlfn.XLOOKUP(G128&amp;$W$2,BS_CONTROLE[CHAVE],BS_CONTROLE[Quantidade_11],"-")</f>
        <v>1500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35260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1607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358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 t="str">
        <f ca="1">_xlfn.XLOOKUP(G134&amp;$U$2,BS_CONTROLE[CHAVE],BS_CONTROLE[Quantidade_11],"-")</f>
        <v>-</v>
      </c>
      <c r="V134" s="98">
        <f ca="1">_xlfn.XLOOKUP(G134&amp;$V$2,BS_CONTROLE[CHAVE],BS_CONTROLE[Quantidade_11],"-")</f>
        <v>500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>
        <f ca="1">_xlfn.XLOOKUP(G135&amp;$U$2,BS_CONTROLE[CHAVE],BS_CONTROLE[Quantidade_11],"-")</f>
        <v>0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>
        <f ca="1">_xlfn.XLOOKUP(G137&amp;$U$2,BS_CONTROLE[CHAVE],BS_CONTROLE[Quantidade_11],"-")</f>
        <v>2</v>
      </c>
      <c r="V137" s="98" t="str">
        <f ca="1">_xlfn.XLOOKUP(G137&amp;$V$2,BS_CONTROLE[CHAVE],BS_CONTROLE[Quantidade_11],"-")</f>
        <v>-</v>
      </c>
      <c r="W137" s="98">
        <f ca="1">_xlfn.XLOOKUP(G137&amp;$W$2,BS_CONTROLE[CHAVE],BS_CONTROLE[Quantidade_11],"-")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>
        <f ca="1">_xlfn.XLOOKUP(G138&amp;$W$2,BS_CONTROLE[CHAVE],BS_CONTROLE[Quantidade_11],"-")</f>
        <v>1500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>
        <f ca="1">_xlfn.XLOOKUP(G139&amp;$U$2,BS_CONTROLE[CHAVE],BS_CONTROLE[Quantidade_11],"-")</f>
        <v>2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>
        <f ca="1">_xlfn.XLOOKUP(G140&amp;$U$2,BS_CONTROLE[CHAVE],BS_CONTROLE[Quantidade_11],"-")</f>
        <v>0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35260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IF(FN_MC!Y133="","*",FN_MC!Y133)</f>
        <v>OPORTUNIDADE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IF(FN_MC!Y134="","*",FN_MC!Y134)</f>
        <v>OPORTUNIDADE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IF(FN_MC!Y135="","*",FN_MC!Y135)</f>
        <v>SIM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1607</v>
      </c>
      <c r="V148" s="98">
        <f ca="1">_xlfn.XLOOKUP(G148&amp;$V$2,BS_CONTROLE[CHAVE],BS_CONTROLE[Quantidade_11],"-")</f>
        <v>0</v>
      </c>
      <c r="W148" s="98">
        <f ca="1">_xlfn.XLOOKUP(G148&amp;$W$2,BS_CONTROLE[CHAVE],BS_CONTROLE[Quantidade_11],"-")</f>
        <v>358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IF(FN_MC!Y136="","*",FN_MC!Y136)</f>
        <v>OPORTUNIDADE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IF(FN_MC!Y137="","*",FN_MC!Y137)</f>
        <v>OPORTUNIDADE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>
        <f ca="1">_xlfn.XLOOKUP(G150&amp;$U$2,BS_CONTROLE[CHAVE],BS_CONTROLE[Quantidade_11],"-")</f>
        <v>0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IF(FN_MC!Y138="","*",FN_MC!Y138)</f>
        <v>OPORTUNIDADE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>
        <f ca="1">_xlfn.XLOOKUP(G151&amp;$U$2,BS_CONTROLE[CHAVE],BS_CONTROLE[Quantidade_11],"-")</f>
        <v>2</v>
      </c>
      <c r="V151" s="98" t="str">
        <f ca="1">_xlfn.XLOOKUP(G151&amp;$V$2,BS_CONTROLE[CHAVE],BS_CONTROLE[Quantidade_11],"-")</f>
        <v>-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IF(FN_MC!Y139="","*",FN_MC!Y139)</f>
        <v>OPORTUNIDADE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OPORTUNIDADE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 t="str">
        <f ca="1">_xlfn.XLOOKUP(G154&amp;$U$2,BS_CONTROLE[CHAVE],BS_CONTROLE[Quantidade_11],"-")</f>
        <v>-</v>
      </c>
      <c r="V154" s="98">
        <f ca="1">_xlfn.XLOOKUP(G154&amp;$V$2,BS_CONTROLE[CHAVE],BS_CONTROLE[Quantidade_11],"-")</f>
        <v>500</v>
      </c>
      <c r="W154" s="98">
        <f ca="1">_xlfn.XLOOKUP(G154&amp;$W$2,BS_CONTROLE[CHAVE],BS_CONTROLE[Quantidade_11],"-")</f>
        <v>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SIM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OPORTUNIDADE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IF(FN_MC!Y144="","*",FN_MC!Y144)</f>
        <v>OPORTUNIDADE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0</v>
      </c>
      <c r="W158" s="98">
        <f ca="1">_xlfn.XLOOKUP(G158&amp;$W$2,BS_CONTROLE[CHAVE],BS_CONTROLE[Quantidade_11],"-")</f>
        <v>1500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OPORTUNIDADE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>
        <f ca="1">_xlfn.XLOOKUP(G159&amp;$U$2,BS_CONTROLE[CHAVE],BS_CONTROLE[Quantidade_11],"-")</f>
        <v>2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IF(FN_MC!Y147="","*",FN_MC!Y147)</f>
        <v>OPORTUNIDADE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>
        <f ca="1">_xlfn.XLOOKUP(G160&amp;$U$2,BS_CONTROLE[CHAVE],BS_CONTROLE[Quantidade_11],"-")</f>
        <v>0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IF(FN_MC!Y148="","*",FN_MC!Y148)</f>
        <v>OPORTUNIDADE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IF(FN_MC!Y150="","*",FN_MC!Y150)</f>
        <v>OPORTUNIDADE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IF(FN_MC!Y151="","*",FN_MC!Y151)</f>
        <v>OPORTUNIDADE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Oportunidade</v>
      </c>
      <c r="C167" s="95" t="str">
        <f>IF(FN_MC!Z154="","*",FN_MC!Z154)</f>
        <v>*</v>
      </c>
      <c r="D167" s="96" t="str">
        <f>IF(FN_MC!S154="","*",FN_MC!S154)</f>
        <v>FERRONORTE</v>
      </c>
      <c r="E167" s="96" t="str">
        <f>IF(FN_MC!T154="","*",FN_MC!T154)</f>
        <v>TGR-TRO</v>
      </c>
      <c r="F167" s="96">
        <f>IF(FN_MC!B154="","*",FN_MC!B154)</f>
        <v>46092</v>
      </c>
      <c r="G167" s="96" t="str">
        <f>IF(FN_MC!D154="","*",FN_MC!D154)</f>
        <v>V86</v>
      </c>
      <c r="H167" s="96" t="str">
        <f>IF(FN_MC!F154="","*",FN_MC!F154)</f>
        <v>MECANIZAÇÃO - SOCADORA</v>
      </c>
      <c r="I167" s="96" t="str">
        <f>IF(FN_MC!H154="","*",FN_MC!H154)</f>
        <v>TIQ</v>
      </c>
      <c r="J167" s="96" t="str">
        <f>IF(FN_MC!I154="","*",FN_MC!I154)</f>
        <v>TIQ</v>
      </c>
      <c r="K167" s="96" t="str">
        <f>IF(FN_MC!M154="","*",FN_MC!M154)</f>
        <v>TBS-TAL</v>
      </c>
      <c r="L167" s="196">
        <f>IF(FN_MC!N154="","*",FN_MC!N154)</f>
        <v>671677</v>
      </c>
      <c r="M167" s="97">
        <f>IF(FN_MC!J154="","*",FN_MC!J154)</f>
        <v>98</v>
      </c>
      <c r="N167" s="183">
        <f>IF(FN_MC!K154="","*",FN_MC!K154)</f>
        <v>675</v>
      </c>
      <c r="O167" s="183">
        <f>IF(FN_MC!L154="","*",FN_MC!L154)</f>
        <v>682</v>
      </c>
      <c r="P167" s="107">
        <f>IF(FN_MC!O154="","*",FN_MC!O154)</f>
        <v>0.41666666666666669</v>
      </c>
      <c r="Q167" s="107">
        <f>IF(FN_MC!P154="","*",FN_MC!P154)</f>
        <v>8.3333333333333329E-2</v>
      </c>
      <c r="R167" s="96" t="str">
        <f>IF(FN_MC!Q154="","*",CONCATENATE(FN_MC!Q154," ",FN_MC!R154))</f>
        <v>1120 M</v>
      </c>
      <c r="S167" s="96" t="str">
        <f>IF(FN_MC!V154="","*",FN_MC!V154)</f>
        <v>Saulo</v>
      </c>
      <c r="T167" s="96" t="str">
        <f>IF(FN_MC!W154="","*",FN_MC!W154)</f>
        <v xml:space="preserve">Socaria mecanizada </v>
      </c>
      <c r="U167" s="98">
        <f ca="1">_xlfn.XLOOKUP(G167&amp;$U$2,BS_CONTROLE[CHAVE],BS_CONTROLE[Quantidade_11],"-")</f>
        <v>1607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358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Oportunidade</v>
      </c>
      <c r="C168" s="95" t="str">
        <f>IF(FN_MC!Z155="","*",FN_MC!Z155)</f>
        <v>*</v>
      </c>
      <c r="D168" s="96" t="str">
        <f>IF(FN_MC!S155="","*",FN_MC!S155)</f>
        <v>FERRONORTE</v>
      </c>
      <c r="E168" s="96" t="str">
        <f>IF(FN_MC!T155="","*",FN_MC!T155)</f>
        <v>TCS-TGR</v>
      </c>
      <c r="F168" s="96">
        <f>IF(FN_MC!B155="","*",FN_MC!B155)</f>
        <v>46092</v>
      </c>
      <c r="G168" s="96" t="str">
        <f>IF(FN_MC!D155="","*",FN_MC!D155)</f>
        <v>W70</v>
      </c>
      <c r="H168" s="96" t="str">
        <f>IF(FN_MC!F155="","*",FN_MC!F155)</f>
        <v>PDM - PEDRA - DESCARGA</v>
      </c>
      <c r="I168" s="96" t="str">
        <f>IF(FN_MC!H155="","*",FN_MC!H155)</f>
        <v>TGR</v>
      </c>
      <c r="J168" s="96" t="str">
        <f>IF(FN_MC!I155="","*",FN_MC!I155)</f>
        <v>TGR</v>
      </c>
      <c r="K168" s="96" t="str">
        <f>IF(FN_MC!M155="","*",FN_MC!M155)</f>
        <v>TPC-TVL</v>
      </c>
      <c r="L168" s="196" t="str">
        <f>IF(FN_MC!N155="","*",FN_MC!N155)</f>
        <v>440TVL</v>
      </c>
      <c r="M168" s="97">
        <f>IF(FN_MC!J155="","*",FN_MC!J155)</f>
        <v>74</v>
      </c>
      <c r="N168" s="183">
        <f>IF(FN_MC!K155="","*",FN_MC!K155)</f>
        <v>441</v>
      </c>
      <c r="O168" s="183">
        <f>IF(FN_MC!L155="","*",FN_MC!L155)</f>
        <v>446</v>
      </c>
      <c r="P168" s="107">
        <f>IF(FN_MC!O155="","*",FN_MC!O155)</f>
        <v>0.41666666666666669</v>
      </c>
      <c r="Q168" s="107">
        <f>IF(FN_MC!P155="","*",FN_MC!P155)</f>
        <v>8.3333333333333329E-2</v>
      </c>
      <c r="R168" s="96" t="str">
        <f>IF(FN_MC!Q155="","*",CONCATENATE(FN_MC!Q155," ",FN_MC!R155))</f>
        <v>17 VAGÕES</v>
      </c>
      <c r="S168" s="96" t="str">
        <f>IF(FN_MC!V155="","*",FN_MC!V155)</f>
        <v>Elton</v>
      </c>
      <c r="T168" s="96" t="str">
        <f>IF(FN_MC!W155="","*",FN_MC!W155)</f>
        <v>Descarga de pedra</v>
      </c>
      <c r="U168" s="98">
        <f ca="1">_xlfn.XLOOKUP(G168&amp;$U$2,BS_CONTROLE[CHAVE],BS_CONTROLE[Quantidade_11],"-")</f>
        <v>0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1552</v>
      </c>
      <c r="D5" s="246"/>
      <c r="E5" s="246"/>
      <c r="F5" s="246"/>
      <c r="G5" s="246"/>
      <c r="H5" s="246"/>
      <c r="I5" s="246"/>
      <c r="J5" s="247"/>
      <c r="K5" s="248" t="s">
        <v>1553</v>
      </c>
      <c r="L5" s="249"/>
      <c r="M5" s="249"/>
      <c r="N5" s="249"/>
      <c r="O5" s="250" t="s">
        <v>1554</v>
      </c>
      <c r="P5" s="251"/>
      <c r="Q5" s="252"/>
    </row>
    <row r="6" spans="1:17" s="81" customFormat="1" ht="15.75" customHeight="1">
      <c r="A6" s="75" t="s">
        <v>1550</v>
      </c>
      <c r="B6" s="82" t="s">
        <v>1549</v>
      </c>
      <c r="C6" s="83" t="s">
        <v>1176</v>
      </c>
      <c r="D6" s="84" t="s">
        <v>1177</v>
      </c>
      <c r="E6" s="83" t="s">
        <v>1555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1556</v>
      </c>
      <c r="M6" s="116" t="s">
        <v>29</v>
      </c>
      <c r="N6" s="117" t="s">
        <v>1171</v>
      </c>
      <c r="O6" s="165" t="s">
        <v>1214</v>
      </c>
      <c r="P6" s="128"/>
      <c r="Q6" s="139" t="s">
        <v>1557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IF(FN_MC!B155="","*",FN_MC!B155)</f>
        <v>46092</v>
      </c>
      <c r="B178" s="86" t="str">
        <f>IF(FN_MC!X155="","*",FN_MC!X155)</f>
        <v>Oportunidade</v>
      </c>
      <c r="C178" s="87" t="str">
        <f>IF(FN_MC!S155="","*",FN_MC!S155)</f>
        <v>FERRONORTE</v>
      </c>
      <c r="D178" s="87" t="str">
        <f>IF(FN_MC!T155="","*",FN_MC!T155)</f>
        <v>TCS-TGR</v>
      </c>
      <c r="E178" s="87" t="str">
        <f>IF(FN_MC!D155="","*",FN_MC!D155)</f>
        <v>W70</v>
      </c>
      <c r="F178" s="87" t="str">
        <f>IF(FN_MC!H155="","*",FN_MC!H155)</f>
        <v>TGR</v>
      </c>
      <c r="G178" s="87" t="str">
        <f>IF(FN_MC!M155="","*",FN_MC!M155)</f>
        <v>TPC-TVL</v>
      </c>
      <c r="H178" s="125">
        <f>IF(FN_MC!K155="","*",FN_MC!K155)</f>
        <v>441</v>
      </c>
      <c r="I178" s="110">
        <f>IF(FN_MC!O155="","*",FN_MC!O155)</f>
        <v>0.41666666666666669</v>
      </c>
      <c r="J178" s="110">
        <f>IF(FN_MC!P155="","*",FN_MC!P155)</f>
        <v>8.3333333333333329E-2</v>
      </c>
      <c r="K178" s="118" t="str">
        <f>IF(FN_MC!AK155="","*",FN_MC!AK155)</f>
        <v>TGR</v>
      </c>
      <c r="L178" s="118" t="str">
        <f>IF(FN_MC!AM155="","*",FN_MC!AM155)</f>
        <v>TPC-TVL</v>
      </c>
      <c r="M178" s="118">
        <f>IF(FN_MC!AP155="","*",FN_MC!AP155)</f>
        <v>441</v>
      </c>
      <c r="N178" s="118" t="str">
        <f>IF(FN_MC!AM155="","*",FN_MC!AM155)</f>
        <v>TPC-TVL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1558</v>
      </c>
      <c r="C2" s="83" t="s">
        <v>1161</v>
      </c>
      <c r="D2" s="83" t="s">
        <v>1163</v>
      </c>
      <c r="E2" s="83" t="s">
        <v>1559</v>
      </c>
      <c r="F2" s="83" t="s">
        <v>1560</v>
      </c>
      <c r="G2" s="83" t="s">
        <v>1561</v>
      </c>
      <c r="H2" s="83" t="s">
        <v>1562</v>
      </c>
      <c r="I2" s="83" t="s">
        <v>1563</v>
      </c>
      <c r="J2" s="83" t="s">
        <v>1564</v>
      </c>
      <c r="K2" s="109" t="s">
        <v>1565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IF(FN_MC!Y155="","*",FN_MC!Y155)</f>
        <v>*</v>
      </c>
      <c r="C174" s="101">
        <f>IF(FN_MC!B155="","*",FN_MC!B155)</f>
        <v>46092</v>
      </c>
      <c r="D174" s="101" t="str">
        <f>IF(FN_MC!D155="","*",FN_MC!D155)</f>
        <v>W70</v>
      </c>
      <c r="E174" s="101" t="str">
        <f>IF(FN_MC!H155="","*",FN_MC!H155)</f>
        <v>TGR</v>
      </c>
      <c r="F174" s="114" t="str">
        <f>IF(FN_MC!M155="","*",FN_MC!M155)</f>
        <v>TPC-TVL</v>
      </c>
      <c r="G174" s="101" t="str">
        <f>IF(FN_MC!I155="","*",FN_MC!I155)</f>
        <v>TGR</v>
      </c>
      <c r="H174" s="101" t="str">
        <f>IF(FN_MC!AB155="","*",FN_MC!AB155)</f>
        <v>FIXO</v>
      </c>
      <c r="I174" s="101" t="str">
        <f>IF(FN_MC!AC155="","*",FN_MC!AC155)</f>
        <v>ACIONAMENTO</v>
      </c>
      <c r="J174" s="102" t="str">
        <f>IF(FN_MC!AA155="","*",FN_MC!AA155)</f>
        <v>2 Enio e Daniel</v>
      </c>
      <c r="K174" s="112">
        <f>IF(FN_MC!AD155="","*",FN_MC!AD155)</f>
        <v>0.29166666666666669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2026-03-10T17:47:44Z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