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985" documentId="8_{B6337239-1A00-434D-AAD0-422EA1FEB5AE}" xr6:coauthVersionLast="47" xr6:coauthVersionMax="47" xr10:uidLastSave="{D937F448-DC78-436A-B2D1-2A3F4C551E3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54" i="1" l="1" a="1"/>
  <c r="M354" i="1"/>
  <c r="N354" i="1" a="1"/>
  <c r="N354" i="1"/>
  <c r="R354" i="1"/>
  <c r="S354" i="1" a="1"/>
  <c r="S354" i="1"/>
  <c r="T354" i="1" a="1"/>
  <c r="T354" i="1"/>
  <c r="U354" i="1"/>
  <c r="R344" i="1"/>
  <c r="R345" i="1"/>
  <c r="M344" i="1" a="1"/>
  <c r="M344" i="1"/>
  <c r="N344" i="1" a="1"/>
  <c r="N344" i="1"/>
  <c r="N345" i="1" a="1"/>
  <c r="N345" i="1"/>
  <c r="M345" i="1" a="1"/>
  <c r="M345" i="1"/>
  <c r="M346" i="1" a="1"/>
  <c r="M346" i="1"/>
  <c r="N346" i="1" a="1"/>
  <c r="N346" i="1"/>
  <c r="M347" i="1" a="1"/>
  <c r="M347" i="1"/>
  <c r="N347" i="1" a="1"/>
  <c r="N347" i="1"/>
  <c r="M348" i="1" a="1"/>
  <c r="M348" i="1"/>
  <c r="M349" i="1" a="1"/>
  <c r="M349" i="1"/>
  <c r="N349" i="1" a="1"/>
  <c r="N349" i="1"/>
  <c r="M350" i="1" a="1"/>
  <c r="M350" i="1"/>
  <c r="N350" i="1" a="1"/>
  <c r="N350" i="1"/>
  <c r="M351" i="1" a="1"/>
  <c r="M351" i="1"/>
  <c r="N351" i="1" a="1"/>
  <c r="N351" i="1"/>
  <c r="M352" i="1" a="1"/>
  <c r="M352" i="1"/>
  <c r="N352" i="1" a="1"/>
  <c r="N352" i="1"/>
  <c r="M353" i="1" a="1"/>
  <c r="M353" i="1"/>
  <c r="N353" i="1" a="1"/>
  <c r="N353" i="1"/>
  <c r="M355" i="1" a="1"/>
  <c r="M355" i="1"/>
  <c r="N355" i="1" a="1"/>
  <c r="N355" i="1"/>
  <c r="M356" i="1" a="1"/>
  <c r="M356" i="1"/>
  <c r="N356" i="1" a="1"/>
  <c r="N356" i="1"/>
  <c r="M358" i="1" a="1"/>
  <c r="M358" i="1"/>
  <c r="N358" i="1" a="1"/>
  <c r="N358" i="1"/>
  <c r="M359" i="1" a="1"/>
  <c r="M359" i="1"/>
  <c r="N359" i="1" a="1"/>
  <c r="N359" i="1"/>
  <c r="M360" i="1" a="1"/>
  <c r="M360" i="1"/>
  <c r="N360" i="1" a="1"/>
  <c r="N360" i="1"/>
  <c r="M362" i="1" a="1"/>
  <c r="M362" i="1"/>
  <c r="N362" i="1" a="1"/>
  <c r="N362" i="1"/>
  <c r="M363" i="1" a="1"/>
  <c r="M363" i="1"/>
  <c r="N363" i="1" a="1"/>
  <c r="N363" i="1"/>
  <c r="M364" i="1" a="1"/>
  <c r="M364" i="1"/>
  <c r="N364" i="1" a="1"/>
  <c r="N364" i="1"/>
  <c r="M365" i="1" a="1"/>
  <c r="M365" i="1"/>
  <c r="N365" i="1" a="1"/>
  <c r="N365" i="1"/>
  <c r="M366" i="1" a="1"/>
  <c r="M366" i="1"/>
  <c r="N366" i="1" a="1"/>
  <c r="N366" i="1"/>
  <c r="M367" i="1" a="1"/>
  <c r="M367" i="1"/>
  <c r="N367" i="1" a="1"/>
  <c r="N367" i="1"/>
  <c r="M368" i="1" a="1"/>
  <c r="M368" i="1"/>
  <c r="N368" i="1" a="1"/>
  <c r="N368" i="1"/>
  <c r="M369" i="1" a="1"/>
  <c r="M369" i="1"/>
  <c r="N369" i="1" a="1"/>
  <c r="N369" i="1"/>
  <c r="M370" i="1" a="1"/>
  <c r="M370" i="1"/>
  <c r="N370" i="1" a="1"/>
  <c r="N370" i="1"/>
  <c r="M371" i="1" a="1"/>
  <c r="M371" i="1"/>
  <c r="N371" i="1" a="1"/>
  <c r="N371" i="1"/>
  <c r="M372" i="1" a="1"/>
  <c r="M372" i="1"/>
  <c r="N372" i="1" a="1"/>
  <c r="N372" i="1"/>
  <c r="M373" i="1" a="1"/>
  <c r="M373" i="1"/>
  <c r="N373" i="1" a="1"/>
  <c r="N373" i="1"/>
  <c r="M374" i="1" a="1"/>
  <c r="M374" i="1"/>
  <c r="N374" i="1" a="1"/>
  <c r="N374" i="1"/>
  <c r="M375" i="1" a="1"/>
  <c r="M375" i="1"/>
  <c r="N375" i="1" a="1"/>
  <c r="N375" i="1"/>
  <c r="M376" i="1" a="1"/>
  <c r="M376" i="1"/>
  <c r="N376" i="1" a="1"/>
  <c r="N376" i="1"/>
  <c r="M377" i="1" a="1"/>
  <c r="M377" i="1"/>
  <c r="N377" i="1" a="1"/>
  <c r="N377" i="1"/>
  <c r="M378" i="1" a="1"/>
  <c r="M378" i="1"/>
  <c r="N378" i="1" a="1"/>
  <c r="N378" i="1"/>
  <c r="M379" i="1" a="1"/>
  <c r="M379" i="1"/>
  <c r="N379" i="1" a="1"/>
  <c r="N379" i="1"/>
  <c r="M380" i="1" a="1"/>
  <c r="M380" i="1"/>
  <c r="N380" i="1" a="1"/>
  <c r="N380" i="1"/>
  <c r="M381" i="1" a="1"/>
  <c r="M381" i="1"/>
  <c r="N381" i="1" a="1"/>
  <c r="N381" i="1"/>
  <c r="M382" i="1" a="1"/>
  <c r="M382" i="1"/>
  <c r="N382" i="1" a="1"/>
  <c r="N382" i="1"/>
  <c r="M383" i="1" a="1"/>
  <c r="M383" i="1"/>
  <c r="N383" i="1" a="1"/>
  <c r="N383" i="1"/>
  <c r="M384" i="1" a="1"/>
  <c r="M384" i="1"/>
  <c r="N384" i="1" a="1"/>
  <c r="N384" i="1"/>
  <c r="M385" i="1" a="1"/>
  <c r="M385" i="1"/>
  <c r="N385" i="1" a="1"/>
  <c r="N385" i="1"/>
  <c r="M386" i="1" a="1"/>
  <c r="M386" i="1"/>
  <c r="N386" i="1" a="1"/>
  <c r="N386" i="1"/>
  <c r="M387" i="1" a="1"/>
  <c r="M387" i="1"/>
  <c r="N387" i="1" a="1"/>
  <c r="N387" i="1"/>
  <c r="M388" i="1" a="1"/>
  <c r="M388" i="1"/>
  <c r="N388" i="1" a="1"/>
  <c r="N388" i="1"/>
  <c r="M389" i="1" a="1"/>
  <c r="M389" i="1"/>
  <c r="N389" i="1" a="1"/>
  <c r="N389" i="1"/>
  <c r="M390" i="1" a="1"/>
  <c r="M390" i="1"/>
  <c r="N390" i="1" a="1"/>
  <c r="N390" i="1"/>
  <c r="M391" i="1" a="1"/>
  <c r="M391" i="1"/>
  <c r="N391" i="1" a="1"/>
  <c r="N391" i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N177" i="1" a="1"/>
  <c r="N177" i="1" s="1"/>
  <c r="L174" i="12" s="1"/>
  <c r="M177" i="1" a="1"/>
  <c r="M177" i="1" s="1"/>
  <c r="K174" i="12" s="1"/>
  <c r="G177" i="1"/>
  <c r="C177" i="1"/>
  <c r="G164" i="1"/>
  <c r="R164" i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K342" i="12"/>
  <c r="L342" i="12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K343" i="12"/>
  <c r="L343" i="12"/>
  <c r="R346" i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K344" i="12"/>
  <c r="L344" i="12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K345" i="12"/>
  <c r="L345" i="12"/>
  <c r="R348" i="1"/>
  <c r="S348" i="1" a="1"/>
  <c r="S348" i="1"/>
  <c r="D345" i="12" s="1"/>
  <c r="T348" i="1" a="1"/>
  <c r="T348" i="1"/>
  <c r="E345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K346" i="12"/>
  <c r="L346" i="12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K347" i="12"/>
  <c r="L347" i="12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K348" i="12"/>
  <c r="L348" i="12"/>
  <c r="R351" i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K349" i="12"/>
  <c r="L349" i="12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K350" i="12"/>
  <c r="L350" i="12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K351" i="12"/>
  <c r="L351" i="12"/>
  <c r="D351" i="12"/>
  <c r="E351" i="12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K352" i="12"/>
  <c r="L352" i="12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K353" i="12"/>
  <c r="L353" i="12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K354" i="12"/>
  <c r="L354" i="12"/>
  <c r="D354" i="12"/>
  <c r="E354" i="12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K355" i="12"/>
  <c r="L355" i="12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K356" i="12"/>
  <c r="L356" i="12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K357" i="12"/>
  <c r="L357" i="12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K358" i="12"/>
  <c r="L358" i="12"/>
  <c r="D358" i="12"/>
  <c r="E358" i="12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K359" i="12"/>
  <c r="L359" i="12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K360" i="12"/>
  <c r="L360" i="12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K361" i="12"/>
  <c r="L361" i="12"/>
  <c r="R364" i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K362" i="12"/>
  <c r="L362" i="12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L363" i="12"/>
  <c r="R366" i="1"/>
  <c r="S366" i="1" a="1"/>
  <c r="S366" i="1"/>
  <c r="D363" i="12" s="1"/>
  <c r="T366" i="1" a="1"/>
  <c r="T366" i="1"/>
  <c r="E363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L364" i="12"/>
  <c r="R367" i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L365" i="12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L366" i="12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L367" i="12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L368" i="12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L369" i="12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L370" i="12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L371" i="12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L372" i="12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L373" i="12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L374" i="12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L375" i="12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L376" i="12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L377" i="12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L378" i="12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L379" i="12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L380" i="12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L381" i="12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L382" i="12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L383" i="12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K384" i="12"/>
  <c r="L384" i="12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K385" i="12"/>
  <c r="L385" i="12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K386" i="12"/>
  <c r="L386" i="12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K387" i="12"/>
  <c r="L387" i="12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K388" i="12"/>
  <c r="L388" i="12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/>
  <c r="E409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K338" i="12"/>
  <c r="L338" i="12"/>
  <c r="D338" i="12"/>
  <c r="E338" i="12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1" i="12"/>
  <c r="L341" i="12"/>
  <c r="D341" i="12"/>
  <c r="E341" i="12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41" i="1" l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K383" i="12"/>
  <c r="F382" i="13"/>
  <c r="K382" i="12"/>
  <c r="F381" i="13"/>
  <c r="K381" i="12"/>
  <c r="F380" i="13"/>
  <c r="K380" i="12"/>
  <c r="F379" i="13"/>
  <c r="K379" i="12"/>
  <c r="F378" i="13"/>
  <c r="K378" i="12"/>
  <c r="F377" i="13"/>
  <c r="K377" i="12"/>
  <c r="F376" i="13"/>
  <c r="K376" i="12"/>
  <c r="F375" i="13"/>
  <c r="K375" i="12"/>
  <c r="F374" i="13"/>
  <c r="K374" i="12"/>
  <c r="F373" i="13"/>
  <c r="K373" i="12"/>
  <c r="F372" i="13"/>
  <c r="K372" i="12"/>
  <c r="F371" i="13"/>
  <c r="K371" i="12"/>
  <c r="F370" i="13"/>
  <c r="K370" i="12"/>
  <c r="F369" i="13"/>
  <c r="K369" i="12"/>
  <c r="F368" i="13"/>
  <c r="K368" i="12"/>
  <c r="F367" i="13"/>
  <c r="K367" i="12"/>
  <c r="F366" i="13"/>
  <c r="K366" i="12"/>
  <c r="F365" i="13"/>
  <c r="K365" i="12"/>
  <c r="F364" i="13"/>
  <c r="K364" i="12"/>
  <c r="F363" i="13"/>
  <c r="K363" i="12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<sst xmlns="http://schemas.openxmlformats.org/spreadsheetml/2006/main" count="6953" uniqueCount="1791">
  <si>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</si>
  <si>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</si>
  <si>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</si>
  <si>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</si>
  <si>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</si>
  <si>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</si>
  <si>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</si>
  <si>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</si>
  <si>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</si>
  <si>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</si>
  <si>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</si>
  <si>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</si>
  <si>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</si>
  <si>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</si>
  <si>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</si>
  <si>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</si>
  <si>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</si>
  <si>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</si>
  <si>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</si>
  <si>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</si>
  <si>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</si>
  <si>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</si>
  <si>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</si>
  <si>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</si>
  <si>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</si>
  <si>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</si>
  <si>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</si>
  <si>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</si>
  <si>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</si>
  <si>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</si>
  <si>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</si>
  <si>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</si>
  <si>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</si>
  <si>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</si>
  <si>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</si>
  <si>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</si>
  <si>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</si>
  <si>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</si>
  <si>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</si>
  <si>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</si>
  <si>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</si>
  <si>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</si>
  <si>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</si>
  <si>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</si>
  <si>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</si>
  <si>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</si>
  <si>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</si>
  <si>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</si>
  <si>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</si>
  <si>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</si>
  <si>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</si>
  <si>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</si>
  <si>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</si>
  <si>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</si>
  <si>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</si>
  <si>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</si>
  <si>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</si>
  <si>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</si>
  <si>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</si>
  <si>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</si>
  <si>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</si>
  <si>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</si>
  <si>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</si>
  <si>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</si>
  <si>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</si>
  <si>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</si>
  <si>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</si>
  <si>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</si>
  <si>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</si>
  <si>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</si>
  <si>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</si>
  <si>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</si>
  <si>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</si>
  <si>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</si>
  <si>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</si>
  <si>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</si>
  <si>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</si>
  <si>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</si>
  <si>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</si>
  <si>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</si>
  <si>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</si>
  <si>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</si>
  <si>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</si>
  <si>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</si>
  <si>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</si>
  <si>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</si>
  <si>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</si>
  <si>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</si>
  <si>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</si>
  <si>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</si>
  <si>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</si>
  <si>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</si>
  <si>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</si>
  <si>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</si>
  <si>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</si>
  <si>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</si>
  <si>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</si>
  <si>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</si>
  <si>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</si>
  <si>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</si>
  <si>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</si>
  <si>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</si>
  <si>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</si>
  <si>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</si>
  <si>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</si>
  <si>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</si>
  <si>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</si>
  <si>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</si>
  <si>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</si>
  <si>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</si>
  <si>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</si>
  <si>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</si>
  <si>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</si>
  <si>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</si>
  <si>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</si>
  <si>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</si>
  <si>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</si>
  <si>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</si>
  <si>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</si>
  <si>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</si>
  <si>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</si>
  <si>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</si>
  <si>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</si>
  <si>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</si>
  <si>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</si>
  <si>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</si>
  <si>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</si>
  <si>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</si>
  <si>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</si>
  <si>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</si>
  <si>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</si>
  <si>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</si>
  <si>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</si>
  <si>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</si>
  <si>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</si>
  <si>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</si>
  <si>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</si>
  <si>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</si>
  <si>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</si>
  <si>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</si>
  <si>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</si>
  <si>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</si>
  <si>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</si>
  <si>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</si>
  <si>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</si>
  <si>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</si>
  <si>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</si>
  <si>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</si>
  <si>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</si>
  <si>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</si>
  <si>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</si>
  <si>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</si>
  <si>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</si>
  <si>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</si>
  <si>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</si>
  <si>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</si>
  <si>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</si>
  <si>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</si>
  <si>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</si>
  <si>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</si>
  <si>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</si>
  <si>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</si>
  <si>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</si>
  <si>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</si>
  <si>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</si>
  <si>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</si>
  <si>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</si>
  <si>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</si>
  <si>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</si>
  <si>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</si>
  <si>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</si>
  <si>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</si>
  <si>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</si>
  <si>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</si>
  <si>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</si>
  <si>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</si>
  <si>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</si>
  <si>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</si>
  <si>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</si>
  <si>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</si>
  <si>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</si>
  <si>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</si>
  <si>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</si>
  <si>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</si>
  <si>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</si>
  <si>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</si>
  <si>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</si>
  <si>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</si>
  <si>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</si>
  <si>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</si>
  <si>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</si>
  <si>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</si>
  <si>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</si>
  <si>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</si>
  <si>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</si>
  <si>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</si>
  <si>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</si>
  <si>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</si>
  <si>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</si>
  <si>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</si>
  <si>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</si>
  <si>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</si>
  <si>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</si>
  <si>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</si>
  <si>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</si>
  <si>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</si>
  <si>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</si>
  <si>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</si>
  <si>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</si>
  <si>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</si>
  <si>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</si>
  <si>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</si>
  <si>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</si>
  <si>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</si>
  <si>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</si>
  <si>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</si>
  <si>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</si>
  <si>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</si>
  <si>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</si>
  <si>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</si>
  <si>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</si>
  <si>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</si>
  <si>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</si>
  <si>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</si>
  <si>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</si>
  <si>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</si>
  <si>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</si>
  <si>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</si>
  <si>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</si>
  <si>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</si>
  <si>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</si>
  <si>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</si>
  <si>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</si>
  <si>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</si>
  <si>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</si>
  <si>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</si>
  <si>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</si>
  <si>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</si>
  <si>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</si>
  <si>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</si>
  <si>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</si>
  <si>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</si>
  <si>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</si>
  <si>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</si>
  <si>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</si>
  <si>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</si>
  <si>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</si>
  <si>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</si>
  <si>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</si>
  <si>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</si>
  <si>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</si>
  <si>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</si>
  <si>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</si>
  <si>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</si>
  <si>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</si>
  <si>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</si>
  <si>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</si>
  <si>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</si>
  <si>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</si>
  <si>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</si>
  <si>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</si>
  <si>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</si>
  <si>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</si>
  <si>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</si>
  <si>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</si>
  <si>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</si>
  <si>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</si>
  <si>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</si>
  <si>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</si>
  <si>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</si>
  <si>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</si>
  <si>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</si>
  <si>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</si>
  <si>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</si>
  <si>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</si>
  <si>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</si>
  <si>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</si>
  <si>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</si>
  <si>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</si>
  <si>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</si>
  <si>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</si>
  <si>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</si>
  <si>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</si>
  <si>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</si>
  <si>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</si>
  <si>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</si>
  <si>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</si>
  <si>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</si>
  <si>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</si>
  <si>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</si>
  <si>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</si>
  <si>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</si>
  <si>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</si>
  <si>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</si>
  <si>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</si>
  <si>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</si>
  <si>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</si>
  <si>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</si>
  <si>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</si>
  <si>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</si>
  <si>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</si>
  <si>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</si>
  <si>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</si>
  <si>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</si>
  <si>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</si>
  <si>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</si>
  <si>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</si>
  <si>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</si>
  <si>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</si>
  <si>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</si>
  <si>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</si>
  <si>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</si>
  <si>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</si>
  <si>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</si>
  <si>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</si>
  <si>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</si>
  <si>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</si>
  <si>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</si>
  <si>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</si>
  <si>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</si>
  <si>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</si>
  <si>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</si>
  <si>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</si>
  <si>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</si>
  <si>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</si>
  <si>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</si>
  <si>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</si>
  <si>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</si>
  <si>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</si>
  <si>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</si>
  <si>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</si>
  <si>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</si>
  <si>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</si>
  <si>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</si>
  <si>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</si>
  <si>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</si>
  <si>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</si>
  <si>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</si>
  <si>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</si>
  <si>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</si>
  <si>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</si>
  <si>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</si>
  <si>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</si>
  <si>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</si>
  <si>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</si>
  <si>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</si>
  <si>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</si>
  <si>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</si>
  <si>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</si>
  <si>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</si>
  <si>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</si>
  <si>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</si>
  <si>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</si>
  <si>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</si>
  <si>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</si>
  <si>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</si>
  <si>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</si>
  <si>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</si>
  <si>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</si>
  <si>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</si>
  <si>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</si>
  <si>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</si>
  <si>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</si>
  <si>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</si>
  <si>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</si>
  <si>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</si>
  <si>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</si>
  <si>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</si>
  <si>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</si>
  <si>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</si>
  <si>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</si>
  <si>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</si>
  <si>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</si>
  <si>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</si>
  <si>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</si>
  <si>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</si>
  <si>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</si>
  <si>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</si>
  <si>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</si>
  <si>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</si>
  <si>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</si>
  <si>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</si>
  <si>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</si>
  <si>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</si>
  <si>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</si>
  <si>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</si>
  <si>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</si>
  <si>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</si>
  <si>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</si>
  <si>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</si>
  <si>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</si>
  <si>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</si>
  <si>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</si>
  <si>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</si>
  <si>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</si>
  <si>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</si>
  <si>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</si>
  <si>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</si>
  <si>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</si>
  <si>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</si>
  <si>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</si>
  <si>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</si>
  <si>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</si>
  <si>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</si>
  <si>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</si>
  <si>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</si>
  <si>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</si>
  <si>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</si>
  <si>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</si>
  <si>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</si>
  <si>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</si>
  <si>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</si>
  <si>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</si>
  <si>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</si>
  <si>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</si>
  <si>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</si>
  <si>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</si>
  <si>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</si>
  <si>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</si>
  <si>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</si>
  <si>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</si>
  <si>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</si>
  <si>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</si>
  <si>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</si>
  <si>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</si>
  <si>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</si>
  <si>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</si>
  <si>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</si>
  <si>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</si>
  <si>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</si>
  <si>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</si>
  <si>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</si>
  <si>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</si>
  <si>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</si>
  <si>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</si>
  <si>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</si>
  <si>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</si>
  <si>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</si>
  <si>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</si>
  <si>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</si>
  <si>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</si>
  <si>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</si>
  <si>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</si>
  <si>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</si>
  <si>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</si>
  <si>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</si>
  <si>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</si>
  <si>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</si>
  <si>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</si>
  <si>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</si>
  <si>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</si>
  <si>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</si>
  <si>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</si>
  <si>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</si>
  <si>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</si>
  <si>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</si>
  <si>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</si>
  <si>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</si>
  <si>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</si>
  <si>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</si>
  <si>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</si>
  <si>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</si>
  <si>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</si>
  <si>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</si>
  <si>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</si>
  <si>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</si>
  <si>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</si>
  <si>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</si>
  <si>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</si>
  <si>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</si>
  <si>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</si>
  <si>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</si>
  <si>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</si>
  <si>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</si>
  <si>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</si>
  <si>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</si>
  <si>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</si>
  <si>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</si>
  <si>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</si>
  <si>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</si>
  <si>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</si>
  <si>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</si>
  <si>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</si>
  <si>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</si>
  <si>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</si>
  <si>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</si>
  <si>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</si>
  <si>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</si>
  <si>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</si>
  <si>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</si>
  <si>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</si>
  <si>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</si>
  <si>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</si>
  <si>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</si>
  <si>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</si>
  <si>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</si>
  <si>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</si>
  <si>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</si>
  <si>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</si>
  <si>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</si>
  <si>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</si>
  <si>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</si>
  <si>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</si>
  <si>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</si>
  <si>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</si>
  <si>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</si>
  <si>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</si>
  <si>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</si>
  <si>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</si>
  <si>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</si>
  <si>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</si>
  <si>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</si>
  <si>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</si>
  <si>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</si>
  <si>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</si>
  <si>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</si>
  <si>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</si>
  <si>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</si>
  <si>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</si>
  <si>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</si>
  <si>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</si>
  <si>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</si>
  <si>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</si>
  <si>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</si>
  <si>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</si>
  <si>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</si>
  <si>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</si>
  <si>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</si>
  <si>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</si>
  <si>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</si>
  <si>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</si>
  <si>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</si>
  <si>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</si>
  <si>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</si>
  <si>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</si>
  <si>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</si>
  <si>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</si>
  <si>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</si>
  <si>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</si>
  <si>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</si>
  <si>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</si>
  <si>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</si>
  <si>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</si>
  <si>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</si>
  <si>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</si>
  <si>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</si>
  <si>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</si>
  <si>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</si>
  <si>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</si>
  <si>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</si>
  <si>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</si>
  <si>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</si>
  <si>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</si>
  <si>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</si>
  <si>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</si>
  <si>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</si>
  <si>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</si>
  <si>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</si>
  <si>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</si>
  <si>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</si>
  <si>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</si>
  <si>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</si>
  <si>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</si>
  <si>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</si>
  <si>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</si>
  <si>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</si>
  <si>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</si>
  <si>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</si>
  <si>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</si>
  <si>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</si>
  <si>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</si>
  <si>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</si>
  <si>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</si>
  <si>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</si>
  <si>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</si>
  <si>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</si>
  <si>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</si>
  <si>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</si>
  <si>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</si>
  <si>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</si>
  <si>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</si>
  <si>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</si>
  <si>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</si>
  <si>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</si>
  <si>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</si>
  <si>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</si>
  <si>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</si>
  <si>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</si>
  <si>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</si>
  <si>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</si>
  <si>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</si>
  <si>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</si>
  <si>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</si>
  <si>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</si>
  <si>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</si>
  <si>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</si>
  <si>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</si>
  <si>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</si>
  <si>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</si>
  <si>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</si>
  <si>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</si>
  <si>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</si>
  <si>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</si>
  <si>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</si>
  <si>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</si>
  <si>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</si>
  <si>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</si>
  <si>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</si>
  <si>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</si>
  <si>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</si>
  <si>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</si>
  <si>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</si>
  <si>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</si>
  <si>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</si>
  <si>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</si>
  <si>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</si>
  <si>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</si>
  <si>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</si>
  <si>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</si>
  <si>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</si>
  <si>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</si>
  <si>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</si>
  <si>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</si>
  <si>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</si>
  <si>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</si>
  <si>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</si>
  <si>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</si>
  <si>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</si>
  <si>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</si>
  <si>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</si>
  <si>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</si>
  <si>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</si>
  <si>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</si>
  <si>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</si>
  <si>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</si>
  <si>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</si>
  <si>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</si>
  <si>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</si>
  <si>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</si>
  <si>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</si>
  <si>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</si>
  <si>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</si>
  <si>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</si>
  <si>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</si>
  <si>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</si>
  <si>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</si>
  <si>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</si>
  <si>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</si>
  <si>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</si>
  <si>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</si>
  <si>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</si>
  <si>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</si>
  <si>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</si>
  <si>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</si>
  <si>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</si>
  <si>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</si>
  <si>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</si>
  <si>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</si>
  <si>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</si>
  <si>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</si>
  <si>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</si>
  <si>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</si>
  <si>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</si>
  <si>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</si>
  <si>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</si>
  <si>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</si>
  <si>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</si>
  <si>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</si>
  <si>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</si>
  <si>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</si>
  <si>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</si>
  <si>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</si>
  <si>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</si>
  <si>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</si>
  <si>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</si>
  <si>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</si>
  <si>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</si>
  <si>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</si>
  <si>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</si>
  <si>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</si>
  <si>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</si>
  <si>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</si>
  <si>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</si>
  <si>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</si>
  <si>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</si>
  <si>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</si>
  <si>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</si>
  <si>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</si>
  <si>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</si>
  <si>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</si>
  <si>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</si>
  <si>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</si>
  <si>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</si>
  <si>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</si>
  <si>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</si>
  <si>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</si>
  <si>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</si>
  <si>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</si>
  <si>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</si>
  <si>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</si>
  <si>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</si>
  <si>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</si>
  <si>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</si>
  <si>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</si>
  <si>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</si>
  <si>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</si>
  <si>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</si>
  <si>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</si>
  <si>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</si>
  <si>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</si>
  <si>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</si>
  <si>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</si>
  <si>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</si>
  <si>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</si>
  <si>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</si>
  <si>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</si>
  <si>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</si>
  <si>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</si>
  <si>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</si>
  <si>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</si>
  <si>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</si>
  <si>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</si>
  <si>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</si>
  <si>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</si>
  <si>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</si>
  <si>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</si>
  <si>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</si>
  <si>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</si>
  <si>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</si>
  <si>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</si>
  <si>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</si>
  <si>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</si>
  <si>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</si>
  <si>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</si>
  <si>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</si>
  <si>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</si>
  <si>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</si>
  <si>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</si>
  <si>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</si>
  <si>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</si>
  <si>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</si>
  <si>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</si>
  <si>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</si>
  <si>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</si>
  <si>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</si>
  <si>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</si>
  <si>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</si>
  <si>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</si>
  <si>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</si>
  <si>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</si>
  <si>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</si>
  <si>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</si>
  <si>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</si>
  <si>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</si>
  <si>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</si>
  <si>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</si>
  <si>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</si>
  <si>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</si>
  <si>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</si>
  <si>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</si>
  <si>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</si>
  <si>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</si>
  <si>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</si>
  <si>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</si>
  <si>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</si>
  <si>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</si>
  <si>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</si>
  <si>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</si>
  <si>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</si>
  <si>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</si>
  <si>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</si>
  <si>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</si>
  <si>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</si>
  <si>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</si>
  <si>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</si>
  <si>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</si>
  <si>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</si>
  <si>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</si>
  <si>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</si>
  <si>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</si>
  <si>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</si>
  <si>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</si>
  <si>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</si>
  <si>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</si>
  <si>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</si>
  <si>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</si>
  <si>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</si>
  <si>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</si>
  <si>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</si>
  <si>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</si>
  <si>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</si>
  <si>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</si>
  <si>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</si>
  <si>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</si>
  <si>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</si>
  <si>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</si>
  <si>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</si>
  <si>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</si>
  <si>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</si>
  <si>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</si>
  <si>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</si>
  <si>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</si>
  <si>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</si>
  <si>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</si>
  <si>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</si>
  <si>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</si>
  <si>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</si>
  <si>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</si>
  <si>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</si>
  <si>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</si>
  <si>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</si>
  <si>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</si>
  <si>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</si>
  <si>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</si>
  <si>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</si>
  <si>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</si>
  <si>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</si>
  <si>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</si>
  <si>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</si>
  <si>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</si>
  <si>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</si>
  <si>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</si>
  <si>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</si>
  <si>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</si>
  <si>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</si>
  <si>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</si>
  <si>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</si>
  <si>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</si>
  <si>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</si>
  <si>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</si>
  <si>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</si>
  <si>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</si>
  <si>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</si>
  <si>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</si>
  <si>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</si>
  <si>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</si>
  <si>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</si>
  <si>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</si>
  <si>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</si>
  <si>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</si>
  <si>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</si>
  <si>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</si>
  <si>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</si>
  <si>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</si>
  <si>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</si>
  <si>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</si>
  <si>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</si>
  <si>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</si>
  <si>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</si>
  <si>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</si>
  <si>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</si>
  <si>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</si>
  <si>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</si>
  <si>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</si>
  <si>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</si>
  <si>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</si>
  <si>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</si>
  <si>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</si>
  <si>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</si>
  <si>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</si>
  <si>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</si>
  <si>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</si>
  <si>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</si>
  <si>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</si>
  <si>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</si>
  <si>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</si>
  <si>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</si>
  <si>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</si>
  <si>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</si>
  <si>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</si>
  <si>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</si>
  <si>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</si>
  <si>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</si>
  <si>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</si>
  <si>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</si>
  <si>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</si>
  <si>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</si>
  <si>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</si>
  <si>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</si>
  <si>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</si>
  <si>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</si>
  <si>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</si>
  <si>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</si>
  <si>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</si>
  <si>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</si>
  <si>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</si>
  <si>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</si>
  <si>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</si>
  <si>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</si>
  <si>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</si>
  <si>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</si>
  <si>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</si>
  <si>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</si>
  <si>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</si>
  <si>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</si>
  <si>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</si>
  <si>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</si>
  <si>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</si>
  <si>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</si>
  <si>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</si>
  <si>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</si>
  <si>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</si>
  <si>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</si>
  <si>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</si>
  <si>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</si>
  <si>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</si>
  <si>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</si>
  <si>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</si>
  <si>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</si>
  <si>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</si>
  <si>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</si>
  <si>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</si>
  <si>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</si>
  <si>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</si>
  <si>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</si>
  <si>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</si>
  <si>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</si>
  <si>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</si>
  <si>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</si>
  <si>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</si>
  <si>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</si>
  <si>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</si>
  <si>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</si>
  <si>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</si>
  <si>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</si>
  <si>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</si>
  <si>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</si>
  <si>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</si>
  <si>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</si>
  <si>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</si>
  <si>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</si>
  <si>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</si>
  <si>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</si>
  <si>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</si>
  <si>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</si>
  <si>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</si>
  <si>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</si>
  <si>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</si>
  <si>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</si>
  <si>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</si>
  <si>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</si>
  <si>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</si>
  <si>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</si>
  <si>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</si>
  <si>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</si>
  <si>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</si>
  <si>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</si>
  <si>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</si>
  <si>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</si>
  <si>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</si>
  <si>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</si>
  <si>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</si>
  <si>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</si>
  <si>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</si>
  <si>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</si>
  <si>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</si>
  <si>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</si>
  <si>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</si>
  <si>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</si>
  <si>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</si>
  <si>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</si>
  <si>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</si>
  <si>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</si>
  <si>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</si>
  <si>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</si>
  <si>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</si>
  <si>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</si>
  <si>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</si>
  <si>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</si>
  <si>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</si>
  <si>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</si>
  <si>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</si>
  <si>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</si>
  <si>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</si>
  <si>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</si>
  <si>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</si>
  <si>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</si>
  <si>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</si>
  <si>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</si>
  <si>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</si>
  <si>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</si>
  <si>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</si>
  <si>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</si>
  <si>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</si>
  <si>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</si>
  <si>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</si>
  <si>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</si>
  <si>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</si>
  <si>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</si>
  <si>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</si>
  <si>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</si>
  <si>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</si>
  <si>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</si>
  <si>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</si>
  <si>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</si>
  <si>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</si>
  <si>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</si>
  <si>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</si>
  <si>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</si>
  <si>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</si>
  <si>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</si>
  <si>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</si>
  <si>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</si>
  <si>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</si>
  <si>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</si>
  <si>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</si>
  <si>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</si>
  <si>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</si>
  <si>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</si>
  <si>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</si>
  <si>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</si>
  <si>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</si>
  <si>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</si>
  <si>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</si>
  <si>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</si>
  <si>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</si>
  <si>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</si>
  <si>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</si>
  <si>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</si>
  <si>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</si>
  <si>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</si>
  <si>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</si>
  <si>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</si>
  <si>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</si>
  <si>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</si>
  <si>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</si>
  <si>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</si>
  <si>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</si>
  <si>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</si>
  <si>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</si>
  <si>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</si>
  <si>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</si>
  <si>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</si>
  <si>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</si>
  <si>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</si>
  <si>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</si>
  <si>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</si>
  <si>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</si>
  <si>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</si>
  <si>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</si>
  <si>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</si>
  <si>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</si>
  <si>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</si>
  <si>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</si>
  <si>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</si>
  <si>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</si>
  <si>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</si>
  <si>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</si>
  <si>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</si>
  <si>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</si>
  <si>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</si>
  <si>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</si>
  <si>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</si>
  <si>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</si>
  <si>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</si>
  <si>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</si>
  <si>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</si>
  <si>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</si>
  <si>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</si>
  <si>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</si>
  <si>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</si>
  <si>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</si>
  <si>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</si>
  <si>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</si>
  <si>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</si>
  <si>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</si>
  <si>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</si>
  <si>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</si>
  <si>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</si>
  <si>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</si>
  <si>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</si>
  <si>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</si>
  <si>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</si>
  <si>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</si>
  <si>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</si>
  <si>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</si>
  <si>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</si>
  <si>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</si>
  <si>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</si>
  <si>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</si>
  <si>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</si>
  <si>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</si>
  <si>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</si>
  <si>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</si>
  <si>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</si>
  <si>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</si>
  <si>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</si>
  <si>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</si>
  <si>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</si>
  <si>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</si>
  <si>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</si>
  <si>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</si>
  <si>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</si>
  <si>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</si>
  <si>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</si>
  <si>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</si>
  <si>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</si>
  <si>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</si>
  <si>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</si>
  <si>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</si>
  <si>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</si>
  <si>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</si>
  <si>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</si>
  <si>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</si>
  <si>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</si>
  <si>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</si>
  <si>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</si>
  <si>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</si>
  <si>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</si>
  <si>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</si>
  <si>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</si>
  <si>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</si>
  <si>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</si>
  <si>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</si>
  <si>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</si>
  <si>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</si>
  <si>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</si>
  <si>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</si>
  <si>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</si>
  <si>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</si>
  <si>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</si>
  <si>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</si>
  <si>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</si>
  <si>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</si>
  <si>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</si>
  <si>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</si>
  <si>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</si>
  <si>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</si>
  <si>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</si>
  <si>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</si>
  <si>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</si>
  <si>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</si>
  <si>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</si>
  <si>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</si>
  <si>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</si>
  <si>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</si>
  <si>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</si>
  <si>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</si>
  <si>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</si>
  <si>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</si>
  <si>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</si>
  <si>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</si>
  <si>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</si>
  <si>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</si>
  <si>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</si>
  <si>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</si>
  <si>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</si>
  <si>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</si>
  <si>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</si>
  <si>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</si>
  <si>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</si>
  <si>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</si>
  <si>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</si>
  <si>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</si>
  <si>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</si>
  <si>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</si>
  <si>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</si>
  <si>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</si>
  <si>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</si>
  <si>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</si>
  <si>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</si>
  <si>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</si>
  <si>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</si>
  <si>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</si>
  <si>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</si>
  <si>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</si>
  <si>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</si>
  <si>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</si>
  <si>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</si>
  <si>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</si>
  <si>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</si>
  <si>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</si>
  <si>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</si>
  <si>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</si>
  <si>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</si>
  <si>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</si>
  <si>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</si>
  <si>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</si>
  <si>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</si>
  <si>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</si>
  <si>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</si>
  <si>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</si>
  <si>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</si>
  <si>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</si>
  <si>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</si>
  <si>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</si>
  <si>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</si>
  <si>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</si>
  <si>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</si>
  <si>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</si>
  <si>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</si>
  <si>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</si>
  <si>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</si>
  <si>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</si>
  <si>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</si>
  <si>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</si>
  <si>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</si>
  <si>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</si>
  <si>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</si>
  <si>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</si>
  <si>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</si>
  <si>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</si>
  <si>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</si>
  <si>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</si>
  <si>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</si>
  <si>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</si>
  <si>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</si>
  <si>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</si>
  <si>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</si>
  <si>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</si>
  <si>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</si>
  <si>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</si>
  <si>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</si>
  <si>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</si>
  <si>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</si>
  <si>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</si>
  <si>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</si>
  <si>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</si>
  <si>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</si>
  <si>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</si>
  <si>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</si>
  <si>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</si>
  <si>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</si>
  <si>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</si>
  <si>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</si>
  <si>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</si>
  <si>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</si>
  <si>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</si>
  <si>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</si>
  <si>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</si>
  <si>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</si>
  <si>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</si>
  <si>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</si>
  <si>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</si>
  <si>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</si>
  <si>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</si>
  <si>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</si>
  <si>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</si>
  <si>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</si>
  <si>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</si>
  <si>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</si>
  <si>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</si>
  <si>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</si>
  <si>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</si>
  <si>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</si>
  <si>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</si>
  <si>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</si>
  <si>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</si>
  <si>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</si>
  <si>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</si>
  <si>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</si>
  <si>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</si>
  <si>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</si>
  <si>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</si>
  <si>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</si>
  <si>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</si>
  <si>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</si>
  <si>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</si>
  <si>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</si>
  <si>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</si>
  <si>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</si>
  <si>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</si>
  <si>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</si>
  <si>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</si>
  <si>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</si>
  <si>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</si>
  <si>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</si>
  <si>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</si>
  <si>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</si>
  <si>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</si>
  <si>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</si>
  <si>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</si>
  <si>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</si>
  <si>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</si>
  <si>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</si>
  <si>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</si>
  <si>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</si>
  <si>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</si>
  <si>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</si>
  <si>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</si>
  <si>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</si>
  <si>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</si>
  <si>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</si>
  <si>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</si>
  <si>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</si>
  <si>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</si>
  <si>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</si>
  <si>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</si>
  <si>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</si>
  <si>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</si>
  <si>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</si>
  <si>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</si>
  <si>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</si>
  <si>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</si>
  <si>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</si>
  <si>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</si>
  <si>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</si>
  <si>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</si>
  <si>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</si>
  <si>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</si>
  <si>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</si>
  <si>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</si>
  <si>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</si>
  <si>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</si>
  <si>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</si>
  <si>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</si>
  <si>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</si>
  <si>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</si>
  <si>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</si>
  <si>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</si>
  <si>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</si>
  <si>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</si>
  <si>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</si>
  <si>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</si>
  <si>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</si>
  <si>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</si>
  <si>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</si>
  <si>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</si>
  <si>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</si>
  <si>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</si>
  <si>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</si>
  <si>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</si>
  <si>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</si>
  <si>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</si>
  <si>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</si>
  <si>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</si>
  <si>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</si>
  <si>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</si>
  <si>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</si>
  <si>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</si>
  <si>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</si>
  <si>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</si>
  <si>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</si>
  <si>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</si>
  <si>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</si>
  <si>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</si>
  <si>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</si>
  <si>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</si>
  <si>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</si>
  <si>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</si>
  <si>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</si>
  <si>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</si>
  <si>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</si>
  <si>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</si>
  <si>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</si>
  <si>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</si>
  <si>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</si>
  <si>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</si>
  <si>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</si>
  <si>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</si>
  <si>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</si>
  <si>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</si>
  <si>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</si>
  <si>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</si>
  <si>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</si>
  <si>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</si>
  <si>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</si>
  <si>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</si>
  <si>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</si>
  <si>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</si>
  <si>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</si>
  <si>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</si>
  <si>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</si>
  <si>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</si>
  <si>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</si>
  <si>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</si>
  <si>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</si>
  <si>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</si>
  <si>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</si>
  <si>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</si>
  <si>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</si>
  <si>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</si>
  <si>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</si>
  <si>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</si>
  <si>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</si>
  <si>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</si>
  <si>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</si>
  <si>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</si>
  <si>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</si>
  <si>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</si>
  <si>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</si>
  <si>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</si>
  <si>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</si>
  <si>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</si>
  <si>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</si>
  <si>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</si>
  <si>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</si>
  <si>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</si>
  <si>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</si>
  <si>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</si>
  <si>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</si>
  <si>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</si>
  <si>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</si>
  <si>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</si>
  <si>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</si>
  <si>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</si>
  <si>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</si>
  <si>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</si>
  <si>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</si>
  <si>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</si>
  <si>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</si>
  <si>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</si>
  <si>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</si>
  <si>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</si>
  <si>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</si>
  <si>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</si>
  <si>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</si>
  <si>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</si>
  <si>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</si>
  <si>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</si>
  <si>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</si>
  <si>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</si>
  <si>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</si>
  <si>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</si>
  <si>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</si>
  <si>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</si>
  <si>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</si>
  <si>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</si>
  <si>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</si>
  <si>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</si>
  <si>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</si>
  <si>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</si>
  <si>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</si>
  <si>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</si>
  <si>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</si>
  <si>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</si>
  <si>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</si>
  <si>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</si>
  <si>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</si>
  <si>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</si>
  <si>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</si>
  <si>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</si>
  <si>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</si>
  <si>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</si>
  <si>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</si>
  <si>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</si>
  <si>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</si>
  <si>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</si>
  <si>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</si>
  <si>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</si>
  <si>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</si>
  <si>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</si>
  <si>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</si>
  <si>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</si>
  <si>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</si>
  <si>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</si>
  <si>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</si>
  <si>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</si>
  <si>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</si>
  <si>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</si>
  <si>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</si>
  <si>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</si>
  <si>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</si>
  <si>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</si>
  <si>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</si>
  <si>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</si>
  <si>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</si>
  <si>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</si>
  <si>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</si>
  <si>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</si>
  <si>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</si>
  <si>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</si>
  <si>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</si>
  <si>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</si>
  <si>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</si>
  <si>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</si>
  <si>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</si>
  <si>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</si>
  <si>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</si>
  <si>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</si>
  <si>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</si>
  <si>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</si>
  <si>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</si>
  <si>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</si>
  <si>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</si>
  <si>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</si>
  <si>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</si>
  <si>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</si>
  <si>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</si>
  <si>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</si>
  <si>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</si>
  <si>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</si>
  <si>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</si>
  <si>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</si>
  <si>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</si>
  <si>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</si>
  <si>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</si>
  <si>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</si>
  <si>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</si>
  <si>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</si>
  <si>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</si>
  <si>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</si>
  <si>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</si>
  <si>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</si>
  <si>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</si>
  <si>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</si>
  <si>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</si>
  <si>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</si>
  <si>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</si>
  <si>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</si>
  <si>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</si>
  <si>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</si>
  <si>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</si>
  <si>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</si>
  <si>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</si>
  <si>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</si>
  <si>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</si>
  <si>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</si>
  <si>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</si>
  <si>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</si>
  <si>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</si>
  <si>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</si>
  <si>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</si>
  <si>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</si>
  <si>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</si>
  <si>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</si>
  <si>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</si>
  <si>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</si>
  <si>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</si>
  <si>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</si>
  <si>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</si>
  <si>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</si>
  <si>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</si>
  <si>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</si>
  <si>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</si>
  <si>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</si>
  <si>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</si>
  <si>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</si>
  <si>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</si>
  <si>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</si>
  <si>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</si>
  <si>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</si>
  <si>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</si>
  <si>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</si>
  <si>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</si>
  <si>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</si>
  <si>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</si>
  <si>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</si>
  <si>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</si>
  <si>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</si>
  <si>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</si>
  <si>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</si>
  <si>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</si>
  <si>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</si>
  <si>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</si>
  <si>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</si>
  <si>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</si>
  <si>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</si>
  <si>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</si>
  <si>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</si>
  <si>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</si>
  <si>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</si>
  <si>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</si>
  <si>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</si>
  <si>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</si>
  <si>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</si>
  <si>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</si>
  <si>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</si>
  <si>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</si>
  <si>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</si>
  <si>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</si>
  <si>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</si>
  <si>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</si>
  <si>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</si>
  <si>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</si>
  <si>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</si>
  <si>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</si>
  <si>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</si>
  <si>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</si>
  <si>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</si>
  <si>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</si>
  <si>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</si>
  <si>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</si>
  <si>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</si>
  <si>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</si>
  <si>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</si>
  <si>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</si>
  <si>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</si>
  <si>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</si>
  <si>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</si>
  <si>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</si>
  <si>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</si>
  <si>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</si>
  <si>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</si>
  <si>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</si>
  <si>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</si>
  <si>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</si>
  <si>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</si>
  <si>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</si>
  <si>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</si>
  <si>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</si>
  <si>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</si>
  <si>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</si>
  <si>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</si>
  <si>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</si>
  <si>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</si>
  <si>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</si>
  <si>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</si>
  <si>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</si>
  <si>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</si>
  <si>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</si>
  <si>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</si>
  <si>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</si>
  <si>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</si>
  <si>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</si>
  <si>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</si>
  <si>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</si>
  <si>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</si>
  <si>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</si>
  <si>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</si>
  <si>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</si>
  <si>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</si>
  <si>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</si>
  <si>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</si>
  <si>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</si>
  <si>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</si>
  <si>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</si>
  <si>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</si>
  <si>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</si>
  <si>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</si>
  <si>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</si>
  <si>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</si>
  <si>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</si>
  <si>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</si>
  <si>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</si>
  <si>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</si>
  <si>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</si>
  <si>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</si>
  <si>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</si>
  <si>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</si>
  <si>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</si>
  <si>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</si>
  <si>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</si>
  <si>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</si>
  <si>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</si>
  <si>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</si>
  <si>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</si>
  <si>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</si>
  <si>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</si>
  <si>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</si>
  <si>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</si>
  <si>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</si>
  <si>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</si>
  <si>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</si>
  <si>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</si>
  <si>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</si>
  <si>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</si>
  <si>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</si>
  <si>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</si>
  <si>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</si>
  <si>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</si>
  <si>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</si>
  <si>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</si>
  <si>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</si>
  <si>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</si>
  <si>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</si>
  <si>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</si>
  <si>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</si>
  <si>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</si>
  <si>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</si>
  <si>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</si>
  <si>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</si>
  <si>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</si>
  <si>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</si>
  <si>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</si>
  <si>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</si>
  <si>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</si>
  <si>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</si>
  <si>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</si>
  <si>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</si>
  <si>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</si>
  <si>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</si>
  <si>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</si>
  <si>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</si>
  <si>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</si>
  <si>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</si>
  <si>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</si>
  <si>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</si>
  <si>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</si>
  <si>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</si>
  <si>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</si>
  <si>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</si>
  <si>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</si>
  <si>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</si>
  <si>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</si>
  <si>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</si>
  <si>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</si>
  <si>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</si>
  <si>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</si>
  <si>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</si>
  <si>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</si>
  <si>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</si>
  <si>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</si>
  <si>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</si>
  <si>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</si>
  <si>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</si>
  <si>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</si>
  <si>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</si>
  <si>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</si>
  <si>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</si>
  <si>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</si>
  <si>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</si>
  <si>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</si>
  <si>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</si>
  <si>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</si>
  <si>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</si>
  <si>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</si>
  <si>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</si>
  <si>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</si>
  <si>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</si>
  <si>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</si>
  <si>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</si>
  <si>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</si>
  <si>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</si>
  <si>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</si>
  <si>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em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</si>
  <si>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</si>
  <si>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</si>
  <si>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</si>
  <si>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</si>
  <si>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aguardando D71 para verificar faixa</t>
  </si>
  <si>
    <t>Recolhimento de dormente</t>
  </si>
  <si>
    <t>MC1 as 08:36h - licença as 09:36h</t>
  </si>
  <si>
    <t>Após D71 abre intervalo total</t>
  </si>
  <si>
    <t>Cancelado - equipamento segue avariado</t>
  </si>
  <si>
    <t>PSG-PPR</t>
  </si>
  <si>
    <t>PSGPPR</t>
  </si>
  <si>
    <t>Abastecimento e deslocamento de PSG - PPR</t>
  </si>
  <si>
    <t>MC1 as 08:48 - abastecendo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</si>
  <si>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</si>
  <si>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</si>
  <si>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</si>
  <si>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</si>
  <si>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</si>
  <si>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</si>
  <si>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</si>
  <si>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</si>
  <si>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</si>
  <si>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</si>
  <si>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</si>
  <si>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</si>
  <si>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294THE/THE1</t>
  </si>
  <si>
    <t>Execução de solda do km 300,9 ao 301,3</t>
  </si>
  <si>
    <t>Inspeção com Rodo Elton/Bruno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</si>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</sst>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345" activePane="bottomRight" state="frozen"/>
      <selection pane="bottomRight" activeCell="W338" sqref="W33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161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390</v>
      </c>
      <c r="BN302" s="14" t="s">
        <v>411</v>
      </c>
      <c r="BO302" s="160" t="s">
        <v>518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25</v>
      </c>
      <c r="G303" s="9" t="str">
        <f>IF(D303="","*",VLOOKUP(F303,BS_ATIVIDADE[#All],3,FALSE))</f>
        <v>OUTROS</v>
      </c>
      <c r="H303" s="168" t="s">
        <v>1133</v>
      </c>
      <c r="I303" s="168" t="s">
        <v>587</v>
      </c>
      <c r="J303" s="212">
        <v>98</v>
      </c>
      <c r="K303" s="212">
        <v>502</v>
      </c>
      <c r="L303" s="83" t="s">
        <v>11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1670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398</v>
      </c>
      <c r="BN303" s="14" t="s">
        <v>398</v>
      </c>
      <c r="BO303" s="160" t="s">
        <v>398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398</v>
      </c>
      <c r="BN304" s="14" t="s">
        <v>398</v>
      </c>
      <c r="BO304" s="160" t="s">
        <v>398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1078</v>
      </c>
      <c r="I305" s="168" t="s">
        <v>11</v>
      </c>
      <c r="J305" s="212">
        <v>74</v>
      </c>
      <c r="K305" s="212">
        <v>313.7</v>
      </c>
      <c r="L305" s="83" t="s">
        <v>11</v>
      </c>
      <c r="M305" s="199" t="s">
        <v>1069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398</v>
      </c>
      <c r="BN305" s="14" t="s">
        <v>398</v>
      </c>
      <c r="BO305" s="160" t="s">
        <v>398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398</v>
      </c>
      <c r="BN306" s="14" t="s">
        <v>398</v>
      </c>
      <c r="BO306" s="160" t="s">
        <v>398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1110</v>
      </c>
      <c r="J307" s="212">
        <v>74</v>
      </c>
      <c r="K307" s="212">
        <v>226</v>
      </c>
      <c r="L307" s="83" t="s">
        <v>11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398</v>
      </c>
      <c r="BN307" s="14" t="s">
        <v>398</v>
      </c>
      <c r="BO307" s="160" t="s">
        <v>398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374</v>
      </c>
      <c r="Y308" s="153" t="s">
        <v>377</v>
      </c>
      <c r="Z308" s="153"/>
      <c r="AA308" s="83" t="s">
        <v>1692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396</v>
      </c>
      <c r="BN308" s="14" t="s">
        <v>424</v>
      </c>
      <c r="BO308" s="160" t="s">
        <v>533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398</v>
      </c>
      <c r="BN309" s="14" t="s">
        <v>398</v>
      </c>
      <c r="BO309" s="160" t="s">
        <v>398</v>
      </c>
      <c r="BP309" s="16" t="s">
        <v>11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394</v>
      </c>
      <c r="BN310" s="14" t="s">
        <v>424</v>
      </c>
      <c r="BO310" s="160" t="s">
        <v>531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400</v>
      </c>
      <c r="BN311" s="14" t="s">
        <v>425</v>
      </c>
      <c r="BO311" s="160" t="s">
        <v>425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150</v>
      </c>
      <c r="E312" s="315">
        <v>413</v>
      </c>
      <c r="F312" s="167" t="s">
        <v>25</v>
      </c>
      <c r="G312" s="9" t="str">
        <f>IF(D312="","*",VLOOKUP(F312,BS_ATIVIDADE[#All],3,FALSE))</f>
        <v>OUTROS</v>
      </c>
      <c r="H312" s="168" t="s">
        <v>845</v>
      </c>
      <c r="I312" s="168" t="s">
        <v>840</v>
      </c>
      <c r="J312" s="212">
        <v>103</v>
      </c>
      <c r="K312" s="212">
        <v>1806.2</v>
      </c>
      <c r="L312" s="83">
        <v>1724.289</v>
      </c>
      <c r="M312" s="199" t="s">
        <v>843</v>
      </c>
      <c r="N312" s="199" t="s">
        <v>844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374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398</v>
      </c>
      <c r="BN312" s="14" t="s">
        <v>398</v>
      </c>
      <c r="BO312" s="160" t="s">
        <v>398</v>
      </c>
      <c r="BP312" s="16" t="s">
        <v>11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215</v>
      </c>
      <c r="E314" s="314">
        <v>415</v>
      </c>
      <c r="F314" s="167" t="s">
        <v>117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249</v>
      </c>
      <c r="E316" s="314">
        <v>417</v>
      </c>
      <c r="F316" s="167" t="s">
        <v>187</v>
      </c>
      <c r="G316" s="9" t="str">
        <f>IF(D316="","*",VLOOKUP(F316,BS_ATIVIDADE[#All],3,FALSE))</f>
        <v>PEDRA</v>
      </c>
      <c r="H316" s="168" t="s">
        <v>587</v>
      </c>
      <c r="I316" s="168" t="s">
        <v>1135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369</v>
      </c>
      <c r="Y316" s="153" t="s">
        <v>368</v>
      </c>
      <c r="Z316" s="153"/>
      <c r="AA316" s="83" t="s">
        <v>1709</v>
      </c>
      <c r="AB316" s="70" t="s">
        <v>376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389</v>
      </c>
      <c r="BN316" s="14" t="s">
        <v>410</v>
      </c>
      <c r="BO316" s="160" t="s">
        <v>477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107</v>
      </c>
      <c r="E318" s="314">
        <v>419</v>
      </c>
      <c r="F318" s="167" t="s">
        <v>33</v>
      </c>
      <c r="G318" s="9" t="str">
        <f>IF(D318="","*",VLOOKUP(F318,BS_ATIVIDADE[#All],3,FALSE))</f>
        <v>DETECÇÃO</v>
      </c>
      <c r="H318" s="168" t="s">
        <v>1095</v>
      </c>
      <c r="I318" s="168" t="s">
        <v>618</v>
      </c>
      <c r="J318" s="212">
        <v>74</v>
      </c>
      <c r="K318" s="212">
        <v>376</v>
      </c>
      <c r="L318" s="83" t="s">
        <v>11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374</v>
      </c>
      <c r="Y318" s="153" t="s">
        <v>377</v>
      </c>
      <c r="Z318" s="153"/>
      <c r="AA318" s="83">
        <v>1</v>
      </c>
      <c r="AB318" s="70" t="s">
        <v>366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1</v>
      </c>
      <c r="BI318" s="16"/>
      <c r="BJ318" s="16" t="s">
        <v>1714</v>
      </c>
      <c r="BK318" s="16" t="s">
        <v>1715</v>
      </c>
      <c r="BL318" s="15"/>
      <c r="BM318" s="14"/>
      <c r="BN318" s="14"/>
      <c r="BO318" s="160"/>
      <c r="BP318" s="16"/>
      <c r="BQ318" s="12" t="str">
        <f t="shared" si="50"/>
        <v>Produção e Intervalo</v>
      </c>
      <c r="BR318" s="18">
        <f t="shared" si="51"/>
        <v>0</v>
      </c>
      <c r="BS318" s="18">
        <f t="shared" si="52"/>
        <v>0</v>
      </c>
      <c r="BT318" s="220" t="str">
        <f t="shared" si="53"/>
        <v/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300</v>
      </c>
      <c r="E320" s="314">
        <v>421</v>
      </c>
      <c r="F320" s="167" t="s">
        <v>194</v>
      </c>
      <c r="G320" s="9" t="str">
        <f>IF(D320="","*",VLOOKUP(F320,BS_ATIVIDADE[#All],3,FALSE))</f>
        <v>SOLDA</v>
      </c>
      <c r="H320" s="168" t="s">
        <v>1594</v>
      </c>
      <c r="I320" s="168" t="s">
        <v>11</v>
      </c>
      <c r="J320" s="212">
        <v>74</v>
      </c>
      <c r="K320" s="212">
        <v>300.95600000000002</v>
      </c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369</v>
      </c>
      <c r="Y320" s="153" t="s">
        <v>368</v>
      </c>
      <c r="Z320" s="153"/>
      <c r="AA320" s="83" t="s">
        <v>11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8.333333333333337E-2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1</v>
      </c>
      <c r="BI320" s="16"/>
      <c r="BJ320" s="16" t="s">
        <v>1717</v>
      </c>
      <c r="BK320" s="16" t="s">
        <v>1718</v>
      </c>
      <c r="BL320" s="15"/>
      <c r="BM320" s="14"/>
      <c r="BN320" s="14"/>
      <c r="BO320" s="160"/>
      <c r="BP320" s="16"/>
      <c r="BQ320" s="12" t="str">
        <f t="shared" si="50"/>
        <v>Produção</v>
      </c>
      <c r="BR320" s="18">
        <f t="shared" si="51"/>
        <v>1.0000000000000004</v>
      </c>
      <c r="BS320" s="18">
        <f t="shared" si="52"/>
        <v>0</v>
      </c>
      <c r="BT320" s="220" t="str">
        <f t="shared" si="53"/>
        <v/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330</v>
      </c>
      <c r="E323" s="314">
        <v>424</v>
      </c>
      <c r="F323" s="167" t="s">
        <v>194</v>
      </c>
      <c r="G323" s="9" t="str">
        <f>IF(D323="","*",VLOOKUP(F323,BS_ATIVIDADE[#All],3,FALSE))</f>
        <v>SOLDA</v>
      </c>
      <c r="H323" s="168" t="s">
        <v>804</v>
      </c>
      <c r="I323" s="168" t="s">
        <v>11</v>
      </c>
      <c r="J323" s="212">
        <v>74</v>
      </c>
      <c r="K323" s="212">
        <v>289.7</v>
      </c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804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369</v>
      </c>
      <c r="Y323" s="153" t="s">
        <v>368</v>
      </c>
      <c r="Z323" s="153"/>
      <c r="AA323" s="83" t="s">
        <v>11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1</v>
      </c>
      <c r="BI323" s="16"/>
      <c r="BJ323" s="16" t="s">
        <v>1720</v>
      </c>
      <c r="BK323" s="16" t="s">
        <v>1720</v>
      </c>
      <c r="BL323" s="15"/>
      <c r="BM323" s="14"/>
      <c r="BN323" s="14"/>
      <c r="BO323" s="160"/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/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 t="shared" si="53"/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240</v>
      </c>
      <c r="E325" s="314">
        <v>426</v>
      </c>
      <c r="F325" s="167" t="s">
        <v>149</v>
      </c>
      <c r="G325" s="9" t="str">
        <f>IF(D325="","*",VLOOKUP(F325,BS_ATIVIDADE[#All],3,FALSE))</f>
        <v>MODERNIZAÇÃO</v>
      </c>
      <c r="H325" s="168" t="s">
        <v>802</v>
      </c>
      <c r="I325" s="168" t="s">
        <v>802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1721</v>
      </c>
      <c r="X325" s="213" t="s">
        <v>369</v>
      </c>
      <c r="Y325" s="153" t="s">
        <v>368</v>
      </c>
      <c r="Z325" s="153"/>
      <c r="AA325" s="83" t="s">
        <v>1599</v>
      </c>
      <c r="AB325" s="70" t="s">
        <v>366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1</v>
      </c>
      <c r="BI325" s="16"/>
      <c r="BJ325" s="16" t="s">
        <v>1722</v>
      </c>
      <c r="BK325" s="16" t="s">
        <v>1723</v>
      </c>
      <c r="BL325" s="15"/>
      <c r="BM325" s="14"/>
      <c r="BN325" s="14"/>
      <c r="BO325" s="160"/>
      <c r="BP325" s="16"/>
      <c r="BQ325" s="12" t="str">
        <f t="shared" si="60"/>
        <v>Produção e Intervalo</v>
      </c>
      <c r="BR325" s="18">
        <f t="shared" si="61"/>
        <v>0</v>
      </c>
      <c r="BS325" s="18">
        <f t="shared" si="62"/>
        <v>0</v>
      </c>
      <c r="BT325" s="220"/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 t="shared" si="53"/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 t="shared" si="53"/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190</v>
      </c>
      <c r="E328" s="314">
        <v>429</v>
      </c>
      <c r="F328" s="167" t="s">
        <v>236</v>
      </c>
      <c r="G328" s="9" t="str">
        <f>IF(D328="","*",VLOOKUP(F328,BS_ATIVIDADE[#All],3,FALSE))</f>
        <v>MODERNIZAÇÃO</v>
      </c>
      <c r="H328" s="168" t="s">
        <v>786</v>
      </c>
      <c r="I328" s="168" t="s">
        <v>786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374</v>
      </c>
      <c r="Y328" s="153" t="s">
        <v>377</v>
      </c>
      <c r="Z328" s="153"/>
      <c r="AA328" s="83">
        <v>1</v>
      </c>
      <c r="AB328" s="70" t="s">
        <v>366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1724</v>
      </c>
      <c r="BK328" s="16" t="s">
        <v>1724</v>
      </c>
      <c r="BL328" s="15"/>
      <c r="BM328" s="14" t="s">
        <v>396</v>
      </c>
      <c r="BN328" s="14" t="s">
        <v>415</v>
      </c>
      <c r="BO328" s="160" t="s">
        <v>488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 t="shared" ref="BT328:BT368" si="63"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 t="shared" si="63"/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258</v>
      </c>
      <c r="E330" s="314">
        <v>431</v>
      </c>
      <c r="F330" s="167" t="s">
        <v>25</v>
      </c>
      <c r="G330" s="9" t="str">
        <f>IF(D330="","*",VLOOKUP(F330,BS_ATIVIDADE[#All],3,FALSE))</f>
        <v>OUTROS</v>
      </c>
      <c r="H330" s="168" t="s">
        <v>845</v>
      </c>
      <c r="I330" s="168" t="s">
        <v>875</v>
      </c>
      <c r="J330" s="212">
        <v>103</v>
      </c>
      <c r="K330" s="212">
        <v>1806.2</v>
      </c>
      <c r="L330" s="83" t="s">
        <v>11</v>
      </c>
      <c r="M330" s="199" t="s">
        <v>1725</v>
      </c>
      <c r="N330" s="199" t="s">
        <v>1726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1727</v>
      </c>
      <c r="X330" s="213" t="s">
        <v>374</v>
      </c>
      <c r="Y330" s="153" t="s">
        <v>377</v>
      </c>
      <c r="Z330" s="153"/>
      <c r="AA330" s="83">
        <v>1</v>
      </c>
      <c r="AB330" s="70" t="s">
        <v>366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1</v>
      </c>
      <c r="BI330" s="16"/>
      <c r="BJ330" s="16" t="s">
        <v>1728</v>
      </c>
      <c r="BK330" s="16" t="s">
        <v>1728</v>
      </c>
      <c r="BL330" s="15"/>
      <c r="BM330" s="14"/>
      <c r="BN330" s="14"/>
      <c r="BO330" s="160"/>
      <c r="BP330" s="16"/>
      <c r="BQ330" s="12" t="str">
        <f t="shared" si="60"/>
        <v>Produção e Intervalo</v>
      </c>
      <c r="BR330" s="18">
        <f t="shared" si="61"/>
        <v>0</v>
      </c>
      <c r="BS330" s="18">
        <f t="shared" si="62"/>
        <v>0</v>
      </c>
      <c r="BT330" s="220" t="str">
        <f t="shared" si="63"/>
        <v/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150</v>
      </c>
      <c r="E331" s="314"/>
      <c r="F331" s="167" t="s">
        <v>25</v>
      </c>
      <c r="G331" s="9" t="str">
        <f>IF(D331="","*",VLOOKUP(F331,BS_ATIVIDADE[#All],3,FALSE))</f>
        <v>OUTROS</v>
      </c>
      <c r="H331" s="168" t="s">
        <v>1729</v>
      </c>
      <c r="I331" s="168" t="s">
        <v>807</v>
      </c>
      <c r="J331" s="212">
        <v>103</v>
      </c>
      <c r="K331" s="212">
        <v>1724.289</v>
      </c>
      <c r="L331" s="83" t="s">
        <v>11</v>
      </c>
      <c r="M331" s="199" t="s">
        <v>1730</v>
      </c>
      <c r="N331" s="199" t="s">
        <v>1731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1732</v>
      </c>
      <c r="X331" s="213" t="s">
        <v>374</v>
      </c>
      <c r="Y331" s="153" t="s">
        <v>377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1</v>
      </c>
      <c r="BI331" s="16"/>
      <c r="BJ331" s="16" t="s">
        <v>1733</v>
      </c>
      <c r="BK331" s="16" t="s">
        <v>1734</v>
      </c>
      <c r="BL331" s="15"/>
      <c r="BM331" s="14"/>
      <c r="BN331" s="14"/>
      <c r="BO331" s="160"/>
      <c r="BP331" s="16"/>
      <c r="BQ331" s="12" t="str">
        <f t="shared" si="60"/>
        <v>Produção e Intervalo</v>
      </c>
      <c r="BR331" s="18">
        <f t="shared" si="61"/>
        <v>0</v>
      </c>
      <c r="BS331" s="18">
        <f t="shared" si="62"/>
        <v>0</v>
      </c>
      <c r="BT331" s="220" t="str">
        <f t="shared" si="63"/>
        <v/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125</v>
      </c>
      <c r="E332" s="314">
        <v>433</v>
      </c>
      <c r="F332" s="167" t="s">
        <v>225</v>
      </c>
      <c r="G332" s="9" t="str">
        <f>IF(D332="","*",VLOOKUP(F332,BS_ATIVIDADE[#All],3,FALSE))</f>
        <v>OUTROS</v>
      </c>
      <c r="H332" s="168" t="s">
        <v>839</v>
      </c>
      <c r="I332" s="168" t="s">
        <v>11</v>
      </c>
      <c r="J332" s="212">
        <v>103</v>
      </c>
      <c r="K332" s="212">
        <v>1688.5</v>
      </c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1735</v>
      </c>
      <c r="X332" s="213" t="s">
        <v>374</v>
      </c>
      <c r="Y332" s="153" t="s">
        <v>377</v>
      </c>
      <c r="Z332" s="153"/>
      <c r="AA332" s="83">
        <v>1</v>
      </c>
      <c r="AB332" s="70" t="s">
        <v>366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1</v>
      </c>
      <c r="BI332" s="16"/>
      <c r="BJ332" s="16" t="s">
        <v>1736</v>
      </c>
      <c r="BK332" s="16" t="s">
        <v>1736</v>
      </c>
      <c r="BL332" s="15"/>
      <c r="BM332" s="14"/>
      <c r="BN332" s="14"/>
      <c r="BO332" s="160"/>
      <c r="BP332" s="16"/>
      <c r="BQ332" s="12" t="str">
        <f t="shared" si="60"/>
        <v>Produção e Intervalo</v>
      </c>
      <c r="BR332" s="18">
        <f t="shared" si="61"/>
        <v>0</v>
      </c>
      <c r="BS332" s="18">
        <f t="shared" si="62"/>
        <v>0</v>
      </c>
      <c r="BT332" s="220" t="str">
        <f t="shared" si="63"/>
        <v/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 t="shared" si="63"/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303</v>
      </c>
      <c r="E334" s="314">
        <v>435</v>
      </c>
      <c r="F334" s="167" t="s">
        <v>168</v>
      </c>
      <c r="G334" s="9" t="str">
        <f>IF(D334="","*",VLOOKUP(F334,BS_ATIVIDADE[#All],3,FALSE))</f>
        <v>AMV</v>
      </c>
      <c r="H334" s="168" t="s">
        <v>985</v>
      </c>
      <c r="I334" s="168" t="s">
        <v>11</v>
      </c>
      <c r="J334" s="212">
        <v>78</v>
      </c>
      <c r="K334" s="212">
        <v>208.3</v>
      </c>
      <c r="L334" s="83" t="s">
        <v>11</v>
      </c>
      <c r="M334" s="199" t="s">
        <v>984</v>
      </c>
      <c r="N334" s="199" t="s">
        <v>985</v>
      </c>
      <c r="O334" s="168">
        <v>0.41666666666666669</v>
      </c>
      <c r="P334" s="168">
        <v>8.3333333333333329E-2</v>
      </c>
      <c r="Q334" s="83">
        <v>1</v>
      </c>
      <c r="R334" s="10" t="s">
        <v>43</v>
      </c>
      <c r="S334" s="284" t="s">
        <v>623</v>
      </c>
      <c r="T334" s="284" t="s">
        <v>922</v>
      </c>
      <c r="U334" s="80" t="s">
        <v>967</v>
      </c>
      <c r="V334" s="193" t="s">
        <v>1699</v>
      </c>
      <c r="W334" s="168" t="s">
        <v>1700</v>
      </c>
      <c r="X334" s="213" t="s">
        <v>374</v>
      </c>
      <c r="Y334" s="153" t="s">
        <v>377</v>
      </c>
      <c r="Z334" s="153"/>
      <c r="AA334" s="83" t="s">
        <v>11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1737</v>
      </c>
      <c r="BK334" s="16" t="s">
        <v>1737</v>
      </c>
      <c r="BL334" s="15"/>
      <c r="BM334" s="14" t="s">
        <v>394</v>
      </c>
      <c r="BN334" s="14" t="s">
        <v>424</v>
      </c>
      <c r="BO334" s="160" t="s">
        <v>528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 t="shared" si="63"/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 t="shared" si="63"/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144</v>
      </c>
      <c r="E336" s="315">
        <v>437</v>
      </c>
      <c r="F336" s="167" t="s">
        <v>194</v>
      </c>
      <c r="G336" s="9" t="str">
        <f>IF(D336="","*",VLOOKUP(F336,BS_ATIVIDADE[#All],3,FALSE))</f>
        <v>SOLDA</v>
      </c>
      <c r="H336" s="168" t="s">
        <v>994</v>
      </c>
      <c r="I336" s="168" t="s">
        <v>974</v>
      </c>
      <c r="J336" s="212">
        <v>78</v>
      </c>
      <c r="K336" s="212">
        <v>211</v>
      </c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1738</v>
      </c>
      <c r="X336" s="213" t="s">
        <v>374</v>
      </c>
      <c r="Y336" s="153" t="s">
        <v>377</v>
      </c>
      <c r="Z336" s="153"/>
      <c r="AA336" s="83">
        <v>1</v>
      </c>
      <c r="AB336" s="70" t="s">
        <v>366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1</v>
      </c>
      <c r="BI336" s="16"/>
      <c r="BJ336" s="16" t="s">
        <v>1739</v>
      </c>
      <c r="BK336" s="16" t="s">
        <v>1739</v>
      </c>
      <c r="BL336" s="15"/>
      <c r="BM336" s="14"/>
      <c r="BN336" s="14"/>
      <c r="BO336" s="160"/>
      <c r="BP336" s="16"/>
      <c r="BQ336" s="12" t="str">
        <f t="shared" si="60"/>
        <v>Produção e Intervalo</v>
      </c>
      <c r="BR336" s="18">
        <f t="shared" si="61"/>
        <v>0</v>
      </c>
      <c r="BS336" s="18">
        <f t="shared" si="62"/>
        <v>0</v>
      </c>
      <c r="BT336" s="220" t="str">
        <f t="shared" si="63"/>
        <v/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 t="shared" si="63"/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1740</v>
      </c>
      <c r="E338" s="314"/>
      <c r="F338" s="167" t="s">
        <v>25</v>
      </c>
      <c r="G338" s="9" t="str">
        <f>IF(D338="","*",VLOOKUP(F338,BS_ATIVIDADE[#All],3,FALSE))</f>
        <v>OUTROS</v>
      </c>
      <c r="H338" s="168" t="s">
        <v>972</v>
      </c>
      <c r="I338" s="168" t="s">
        <v>1557</v>
      </c>
      <c r="J338" s="212">
        <v>78</v>
      </c>
      <c r="K338" s="212">
        <v>189</v>
      </c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374</v>
      </c>
      <c r="Y338" s="153" t="s">
        <v>377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 t="shared" si="63"/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 t="shared" si="63"/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 t="shared" si="63"/>
        <v/>
      </c>
    </row>
    <row r="341" spans="1:72">
      <c r="A341" s="50" t="str">
        <f t="shared" si="59"/>
        <v>W7046044</v>
      </c>
      <c r="B341" s="166">
        <v>46044</v>
      </c>
      <c r="C341" s="8">
        <f>IF(BS_CONTROLE[[#This Row],[DATA]]="","",WEEKNUM(BS_CONTROLE[[#This Row],[DATA]]))</f>
        <v>4</v>
      </c>
      <c r="D341" s="51" t="s">
        <v>249</v>
      </c>
      <c r="E341" s="314">
        <v>442</v>
      </c>
      <c r="F341" s="167" t="s">
        <v>187</v>
      </c>
      <c r="G341" s="9" t="str">
        <f>IF(D341="","*",VLOOKUP(F341,BS_ATIVIDADE[#All],3,FALSE))</f>
        <v>PEDRA</v>
      </c>
      <c r="H341" s="168" t="s">
        <v>587</v>
      </c>
      <c r="I341" s="168" t="s">
        <v>1135</v>
      </c>
      <c r="J341" s="212">
        <v>98</v>
      </c>
      <c r="K341" s="212">
        <v>716</v>
      </c>
      <c r="L341" s="83">
        <v>714</v>
      </c>
      <c r="M341" s="199" t="s">
        <v>607</v>
      </c>
      <c r="N341" s="199" t="s">
        <v>609</v>
      </c>
      <c r="O341" s="168">
        <v>0.375</v>
      </c>
      <c r="P341" s="168">
        <v>0.125</v>
      </c>
      <c r="Q341" s="83">
        <v>28</v>
      </c>
      <c r="R341" s="10" t="s">
        <v>63</v>
      </c>
      <c r="S341" s="284" t="s">
        <v>552</v>
      </c>
      <c r="T341" s="284" t="s">
        <v>556</v>
      </c>
      <c r="U341" s="80" t="s">
        <v>555</v>
      </c>
      <c r="V341" s="193" t="s">
        <v>1337</v>
      </c>
      <c r="W341" s="168" t="s">
        <v>1708</v>
      </c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TIQ</v>
      </c>
      <c r="AL341" s="279" t="str">
        <f>IF(BS_CONTROLE[[#This Row],[Local - Encerramento]]=0, "-", BS_CONTROLE[[#This Row],[Local - Encerramento]])</f>
        <v>TGR2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Produção e Intervalo</v>
      </c>
      <c r="BR341" s="18">
        <f t="shared" si="61"/>
        <v>0</v>
      </c>
      <c r="BS341" s="18">
        <f t="shared" si="62"/>
        <v>0</v>
      </c>
      <c r="BT341" s="220" t="str">
        <f t="shared" si="63"/>
        <v/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 t="shared" si="63"/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 t="shared" si="63"/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215</v>
      </c>
      <c r="E344" s="314">
        <v>445</v>
      </c>
      <c r="F344" s="167" t="s">
        <v>117</v>
      </c>
      <c r="G344" s="9" t="str">
        <f>IF(D344="","*",VLOOKUP(F344,BS_ATIVIDADE[#All],3,FALSE))</f>
        <v>MECANIZAÇÃO - SOCADORA</v>
      </c>
      <c r="H344" s="168" t="s">
        <v>587</v>
      </c>
      <c r="I344" s="168" t="s">
        <v>587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552</v>
      </c>
      <c r="T344" s="284" t="s">
        <v>556</v>
      </c>
      <c r="U344" s="80" t="s">
        <v>555</v>
      </c>
      <c r="V344" s="193" t="s">
        <v>1262</v>
      </c>
      <c r="W344" s="168" t="s">
        <v>1229</v>
      </c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/>
      <c r="AS344" s="38"/>
      <c r="AT344" s="38"/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 t="shared" si="63"/>
        <v/>
      </c>
    </row>
    <row r="345" spans="1:72">
      <c r="A345" s="162" t="str">
        <f t="shared" ref="A345:A347" si="64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32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63"/>
        <v/>
      </c>
    </row>
    <row r="346" spans="1:72">
      <c r="A346" s="162" t="str">
        <f t="shared" si="64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332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63"/>
        <v/>
      </c>
    </row>
    <row r="347" spans="1:72">
      <c r="A347" s="162" t="str">
        <f t="shared" si="64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332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63"/>
        <v/>
      </c>
    </row>
    <row r="348" spans="1:72">
      <c r="A348" s="162" t="str">
        <f t="shared" ref="A348:A411" si="65">D348&amp;B348</f>
        <v>ELSON (TF-526)46044</v>
      </c>
      <c r="B348" s="163">
        <v>46044</v>
      </c>
      <c r="C348" s="8"/>
      <c r="D348" s="51" t="s">
        <v>300</v>
      </c>
      <c r="E348" s="315">
        <v>449</v>
      </c>
      <c r="F348" s="167" t="s">
        <v>194</v>
      </c>
      <c r="G348" s="9" t="str">
        <f>IF(D348="","*",VLOOKUP(F348,BS_ATIVIDADE[#All],3,FALSE))</f>
        <v>SOLDA</v>
      </c>
      <c r="H348" s="142" t="s">
        <v>1741</v>
      </c>
      <c r="I348" s="142" t="s">
        <v>11</v>
      </c>
      <c r="J348" s="37">
        <v>74</v>
      </c>
      <c r="K348" s="37">
        <v>300.89999999999998</v>
      </c>
      <c r="L348" s="83">
        <v>301.3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48" s="199" t="s">
        <v>1741</v>
      </c>
      <c r="O348" s="142">
        <v>0.375</v>
      </c>
      <c r="P348" s="142">
        <v>8.3333333333333329E-2</v>
      </c>
      <c r="Q348" s="83">
        <v>2</v>
      </c>
      <c r="R348" s="10" t="str">
        <f>IFERROR(_xlfn.XLOOKUP(F348, BS_ATIVIDADE[ATIVIDADE],BS_ATIVIDADE[UNIDADE] ), "*")</f>
        <v>Nº DE SOLDA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8" s="80" t="str">
        <f>IFERROR(_xlfn.XLOOKUP(J348, BASE_MAPA!$E$2:$E$359, BASE_MAPA!$J$2:$J$359), "ERRO")</f>
        <v>MARCO INICIAL - ALTO ARAGUAIA</v>
      </c>
      <c r="V348" s="294" t="s">
        <v>1676</v>
      </c>
      <c r="W348" s="332" t="s">
        <v>1742</v>
      </c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300" t="str">
        <f>IF(BS_CONTROLE[[#This Row],[Local - Partida]]=0, "-", BS_CONTROLE[[#This Row],[Local - Partida]])</f>
        <v>294THE/THE1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TRC-THE</v>
      </c>
      <c r="AN348" s="300" t="str">
        <f>IF(BS_CONTROLE[[#This Row],[SB]]=0, "-", BS_CONTROLE[[#This Row],[SB]])</f>
        <v>294THE/THE1</v>
      </c>
      <c r="AO348" s="280">
        <f>IF(BS_CONTROLE[[#This Row],[SUB]]=0, "-", BS_CONTROLE[[#This Row],[SUB]])</f>
        <v>74</v>
      </c>
      <c r="AP348" s="281">
        <f>IF(BS_CONTROLE[[#This Row],[KM - Inicio]]=0, "-", BS_CONTROLE[[#This Row],[KM - Inicio]])</f>
        <v>300.89999999999998</v>
      </c>
      <c r="AQ348" s="281">
        <f>IF(BS_CONTROLE[[#This Row],[KM - Fim]]=0, "-", BS_CONTROLE[[#This Row],[KM - Fim]])</f>
        <v>301.3</v>
      </c>
      <c r="AR348" s="237"/>
      <c r="AS348" s="237"/>
      <c r="AT348" s="237"/>
      <c r="AU348" s="237"/>
      <c r="AV348" s="237"/>
      <c r="AW348" s="237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 t="shared" si="63"/>
        <v/>
      </c>
    </row>
    <row r="349" spans="1:72">
      <c r="A349" s="162" t="str">
        <f t="shared" si="65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32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63"/>
        <v/>
      </c>
    </row>
    <row r="350" spans="1:72">
      <c r="A350" s="162" t="str">
        <f t="shared" si="65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32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63"/>
        <v/>
      </c>
    </row>
    <row r="351" spans="1:72">
      <c r="A351" s="162" t="str">
        <f t="shared" si="65"/>
        <v>A1546044</v>
      </c>
      <c r="B351" s="163">
        <v>46044</v>
      </c>
      <c r="C351" s="8"/>
      <c r="D351" s="51" t="s">
        <v>87</v>
      </c>
      <c r="E351" s="314">
        <v>452</v>
      </c>
      <c r="F351" s="167" t="s">
        <v>230</v>
      </c>
      <c r="G351" s="9" t="str">
        <f>IF(D351="","*",VLOOKUP(F351,BS_ATIVIDADE[#All],3,FALSE))</f>
        <v>OUTROS</v>
      </c>
      <c r="H351" s="142" t="s">
        <v>1072</v>
      </c>
      <c r="I351" s="142" t="s">
        <v>11</v>
      </c>
      <c r="J351" s="37">
        <v>74</v>
      </c>
      <c r="K351" s="37">
        <v>294</v>
      </c>
      <c r="L351" s="83">
        <v>400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32" t="s">
        <v>1743</v>
      </c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300" t="str">
        <f>IF(BS_CONTROLE[[#This Row],[Local - Partida]]=0, "-", BS_CONTROLE[[#This Row],[Local - Partida]])</f>
        <v>294THE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TRC-THE</v>
      </c>
      <c r="AN351" s="300" t="str">
        <f>IF(BS_CONTROLE[[#This Row],[SB]]=0, "-", BS_CONTROLE[[#This Row],[SB]])</f>
        <v>294THE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294</v>
      </c>
      <c r="AQ351" s="281">
        <f>IF(BS_CONTROLE[[#This Row],[KM - Fim]]=0, "-", BS_CONTROLE[[#This Row],[KM - Fim]])</f>
        <v>400</v>
      </c>
      <c r="AR351" s="237"/>
      <c r="AS351" s="237"/>
      <c r="AT351" s="237"/>
      <c r="AU351" s="237"/>
      <c r="AV351" s="237"/>
      <c r="AW351" s="237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Produção e Intervalo</v>
      </c>
      <c r="BR351" s="18">
        <f>IF(OR(B351="",F351=""),"*",AY351/P351)</f>
        <v>0</v>
      </c>
      <c r="BS351" s="18">
        <f>IF(OR(B351="",F351=""),"*",BA351/Q351)</f>
        <v>0</v>
      </c>
      <c r="BT351" s="220" t="str">
        <f t="shared" si="63"/>
        <v/>
      </c>
    </row>
    <row r="352" spans="1:72">
      <c r="A352" s="162" t="str">
        <f t="shared" si="65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32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63"/>
        <v/>
      </c>
    </row>
    <row r="353" spans="1:72">
      <c r="A353" s="162" t="str">
        <f t="shared" si="65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32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63"/>
        <v/>
      </c>
    </row>
    <row r="354" spans="1:72">
      <c r="A354" s="162" t="str">
        <f t="shared" si="65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332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63"/>
        <v/>
      </c>
    </row>
    <row r="355" spans="1:72">
      <c r="A355" s="162" t="str">
        <f t="shared" si="65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32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63"/>
        <v/>
      </c>
    </row>
    <row r="356" spans="1:72">
      <c r="A356" s="162" t="str">
        <f t="shared" si="65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32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63"/>
        <v/>
      </c>
    </row>
    <row r="357" spans="1:72">
      <c r="A357" s="162" t="str">
        <f t="shared" si="65"/>
        <v>W5046044</v>
      </c>
      <c r="B357" s="163">
        <v>46044</v>
      </c>
      <c r="C357" s="8"/>
      <c r="D357" s="51" t="s">
        <v>240</v>
      </c>
      <c r="E357" s="314"/>
      <c r="F357" s="167" t="s">
        <v>149</v>
      </c>
      <c r="G357" s="9" t="str">
        <f>IF(D357="","*",VLOOKUP(F357,BS_ATIVIDADE[#All],3,FALSE))</f>
        <v>MODERNIZAÇÃO</v>
      </c>
      <c r="H357" s="142" t="s">
        <v>802</v>
      </c>
      <c r="I357" s="142" t="s">
        <v>802</v>
      </c>
      <c r="J357" s="37">
        <v>74</v>
      </c>
      <c r="K357" s="37">
        <v>250</v>
      </c>
      <c r="L357" s="83">
        <v>249.5</v>
      </c>
      <c r="M357" s="199" t="s">
        <v>793</v>
      </c>
      <c r="N357" s="199">
        <v>239251</v>
      </c>
      <c r="O357" s="142">
        <v>0.35416666666666669</v>
      </c>
      <c r="P357" s="142">
        <v>0.125</v>
      </c>
      <c r="Q357" s="83">
        <v>500</v>
      </c>
      <c r="R357" s="10" t="s">
        <v>52</v>
      </c>
      <c r="S357" s="284" t="s">
        <v>552</v>
      </c>
      <c r="T357" s="284" t="s">
        <v>723</v>
      </c>
      <c r="U357" s="80" t="s">
        <v>722</v>
      </c>
      <c r="V357" s="294" t="s">
        <v>1321</v>
      </c>
      <c r="W357" s="332" t="s">
        <v>1721</v>
      </c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MODERNIZAÇÃO - RECOLHIMENTO DE DORMENTE</v>
      </c>
      <c r="AJ357" s="9" t="str">
        <f>IF(D357="","*",VLOOKUP(AI357,BS_ATIVIDADE[#Data],3,FALSE))</f>
        <v>MODERNIZAÇÃO</v>
      </c>
      <c r="AK357" s="300" t="str">
        <f>IF(BS_CONTROLE[[#This Row],[Local - Partida]]=0, "-", BS_CONTROLE[[#This Row],[Local - Partida]])</f>
        <v>TCS</v>
      </c>
      <c r="AL357" s="300" t="str">
        <f>IF(BS_CONTROLE[[#This Row],[Local - Encerramento]]=0, "-", BS_CONTROLE[[#This Row],[Local - Encerramento]])</f>
        <v>TCS</v>
      </c>
      <c r="AM357" s="300" t="str">
        <f>IF(BS_CONTROLE[[#This Row],[Entre - Estações]]=0, "-", BS_CONTROLE[[#This Row],[Entre - Estações]])</f>
        <v>TVI-TJA</v>
      </c>
      <c r="AN357" s="300">
        <f>IF(BS_CONTROLE[[#This Row],[SB]]=0, "-", BS_CONTROLE[[#This Row],[SB]])</f>
        <v>239251</v>
      </c>
      <c r="AO357" s="280">
        <f>IF(BS_CONTROLE[[#This Row],[SUB]]=0, "-", BS_CONTROLE[[#This Row],[SUB]])</f>
        <v>74</v>
      </c>
      <c r="AP357" s="281">
        <f>IF(BS_CONTROLE[[#This Row],[KM - Inicio]]=0, "-", BS_CONTROLE[[#This Row],[KM - Inicio]])</f>
        <v>250</v>
      </c>
      <c r="AQ357" s="281">
        <f>IF(BS_CONTROLE[[#This Row],[KM - Fim]]=0, "-", BS_CONTROLE[[#This Row],[KM - Fim]])</f>
        <v>249.5</v>
      </c>
      <c r="AR357" s="237"/>
      <c r="AS357" s="237"/>
      <c r="AT357" s="237"/>
      <c r="AU357" s="237"/>
      <c r="AV357" s="237"/>
      <c r="AW357" s="237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DORMENTES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BASE_MAPA!$E$2:$E$359, BASE_MAPA!$J$2:$J$359), "ERRO")</f>
        <v>MARCO INICIAL - ALTO ARAGUAIA</v>
      </c>
      <c r="BF357" s="282" t="str">
        <f>IF(BS_CONTROLE[[#This Row],[Responsavel pelo boletim]]=0, "-", BS_CONTROLE[[#This Row],[Responsavel pelo boletim]])</f>
        <v>Augusto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20" t="str">
        <f t="shared" si="63"/>
        <v/>
      </c>
    </row>
    <row r="358" spans="1:72">
      <c r="A358" s="162" t="str">
        <f t="shared" si="65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32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63"/>
        <v/>
      </c>
    </row>
    <row r="359" spans="1:72">
      <c r="A359" s="162" t="str">
        <f t="shared" si="65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32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63"/>
        <v/>
      </c>
    </row>
    <row r="360" spans="1:72">
      <c r="A360" s="162" t="str">
        <f t="shared" si="65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332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63"/>
        <v/>
      </c>
    </row>
    <row r="361" spans="1:72">
      <c r="A361" s="162" t="str">
        <f t="shared" si="65"/>
        <v>V6646044</v>
      </c>
      <c r="B361" s="163">
        <v>46044</v>
      </c>
      <c r="C361" s="8"/>
      <c r="D361" s="51" t="s">
        <v>190</v>
      </c>
      <c r="E361" s="314">
        <v>462</v>
      </c>
      <c r="F361" s="167" t="s">
        <v>236</v>
      </c>
      <c r="G361" s="9" t="str">
        <f>IF(D361="","*",VLOOKUP(F361,BS_ATIVIDADE[#All],3,FALSE))</f>
        <v>MODERNIZAÇÃO</v>
      </c>
      <c r="H361" s="142" t="s">
        <v>786</v>
      </c>
      <c r="I361" s="142" t="s">
        <v>786</v>
      </c>
      <c r="J361" s="37">
        <v>74</v>
      </c>
      <c r="K361" s="37">
        <v>171.11500000000001</v>
      </c>
      <c r="L361" s="83">
        <v>173.5</v>
      </c>
      <c r="M361" s="199" t="s">
        <v>783</v>
      </c>
      <c r="N361" s="199" t="s">
        <v>784</v>
      </c>
      <c r="O361" s="142">
        <v>0.39583333333333331</v>
      </c>
      <c r="P361" s="142">
        <v>0.125</v>
      </c>
      <c r="Q361" s="83">
        <v>500</v>
      </c>
      <c r="R361" s="10" t="s">
        <v>38</v>
      </c>
      <c r="S361" s="284" t="s">
        <v>552</v>
      </c>
      <c r="T361" s="284" t="s">
        <v>723</v>
      </c>
      <c r="U361" s="80" t="s">
        <v>722</v>
      </c>
      <c r="V361" s="294" t="s">
        <v>1321</v>
      </c>
      <c r="W361" s="332" t="s">
        <v>1473</v>
      </c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MODERNIZAÇÃO - REGULAGEM</v>
      </c>
      <c r="AJ361" s="9" t="str">
        <f>IF(D361="","*",VLOOKUP(AI361,BS_ATIVIDADE[#Data],3,FALSE))</f>
        <v>MODERNIZAÇÃO</v>
      </c>
      <c r="AK361" s="300" t="str">
        <f>IF(BS_CONTROLE[[#This Row],[Local - Partida]]=0, "-", BS_CONTROLE[[#This Row],[Local - Partida]])</f>
        <v>TID</v>
      </c>
      <c r="AL361" s="300" t="str">
        <f>IF(BS_CONTROLE[[#This Row],[Local - Encerramento]]=0, "-", BS_CONTROLE[[#This Row],[Local - Encerramento]])</f>
        <v>TID</v>
      </c>
      <c r="AM361" s="300" t="str">
        <f>IF(BS_CONTROLE[[#This Row],[Entre - Estações]]=0, "-", BS_CONTROLE[[#This Row],[Entre - Estações]])</f>
        <v>TCE-TID</v>
      </c>
      <c r="AN361" s="300" t="str">
        <f>IF(BS_CONTROLE[[#This Row],[SB]]=0, "-", BS_CONTROLE[[#This Row],[SB]])</f>
        <v>TCE177</v>
      </c>
      <c r="AO361" s="280">
        <f>IF(BS_CONTROLE[[#This Row],[SUB]]=0, "-", BS_CONTROLE[[#This Row],[SUB]])</f>
        <v>74</v>
      </c>
      <c r="AP361" s="281">
        <f>IF(BS_CONTROLE[[#This Row],[KM - Inicio]]=0, "-", BS_CONTROLE[[#This Row],[KM - Inicio]])</f>
        <v>171.11500000000001</v>
      </c>
      <c r="AQ361" s="281">
        <f>IF(BS_CONTROLE[[#This Row],[KM - Fim]]=0, "-", BS_CONTROLE[[#This Row],[KM - Fim]])</f>
        <v>173.5</v>
      </c>
      <c r="AR361" s="237"/>
      <c r="AS361" s="237"/>
      <c r="AT361" s="237"/>
      <c r="AU361" s="237"/>
      <c r="AV361" s="237"/>
      <c r="AW361" s="237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M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1" s="11" t="str">
        <f>IFERROR(_xlfn.XLOOKUP(AO361, BASE_MAPA!$E$2:$E$359, BASE_MAPA!$J$2:$J$359), "ERRO")</f>
        <v>MARCO INICIAL - ALTO ARAGUAIA</v>
      </c>
      <c r="BF361" s="282" t="str">
        <f>IF(BS_CONTROLE[[#This Row],[Responsavel pelo boletim]]=0, "-", BS_CONTROLE[[#This Row],[Responsavel pelo boletim]])</f>
        <v>Augusto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20" t="str">
        <f t="shared" si="63"/>
        <v/>
      </c>
    </row>
    <row r="362" spans="1:72">
      <c r="A362" s="162" t="str">
        <f t="shared" si="65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32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63"/>
        <v/>
      </c>
    </row>
    <row r="363" spans="1:72">
      <c r="A363" s="162" t="str">
        <f t="shared" si="65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332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63"/>
        <v/>
      </c>
    </row>
    <row r="364" spans="1:72">
      <c r="A364" s="162" t="str">
        <f t="shared" si="65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63"/>
        <v/>
      </c>
    </row>
    <row r="365" spans="1:72">
      <c r="A365" s="162" t="str">
        <f t="shared" si="65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63"/>
        <v/>
      </c>
    </row>
    <row r="366" spans="1:72">
      <c r="A366" s="162" t="str">
        <f t="shared" si="65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63"/>
        <v/>
      </c>
    </row>
    <row r="367" spans="1:72">
      <c r="A367" s="162" t="str">
        <f t="shared" si="65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63"/>
        <v/>
      </c>
    </row>
    <row r="368" spans="1:72">
      <c r="A368" s="162" t="str">
        <f t="shared" si="65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63"/>
        <v/>
      </c>
    </row>
    <row r="369" spans="1:72">
      <c r="A369" s="162" t="str">
        <f t="shared" si="65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6">IF(BN369="","",SUBSTITUTE(BM369," ","")&amp;SUBSTITUTE(BN369," ",""))</f>
        <v/>
      </c>
    </row>
    <row r="370" spans="1:72">
      <c r="A370" s="162" t="str">
        <f t="shared" si="65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7">IF(BN370="","",SUBSTITUTE(BM370," ","")&amp;SUBSTITUTE(BN370," ",""))</f>
        <v/>
      </c>
    </row>
    <row r="371" spans="1:72">
      <c r="A371" s="162" t="str">
        <f t="shared" si="65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7"/>
        <v/>
      </c>
    </row>
    <row r="372" spans="1:72">
      <c r="A372" s="162" t="str">
        <f t="shared" si="65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7"/>
        <v/>
      </c>
    </row>
    <row r="373" spans="1:72">
      <c r="A373" s="162" t="str">
        <f t="shared" si="65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7"/>
        <v/>
      </c>
    </row>
    <row r="374" spans="1:72">
      <c r="A374" s="162" t="str">
        <f t="shared" si="65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7"/>
        <v/>
      </c>
    </row>
    <row r="375" spans="1:72">
      <c r="A375" s="162" t="str">
        <f t="shared" si="65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7"/>
        <v/>
      </c>
    </row>
    <row r="376" spans="1:72">
      <c r="A376" s="162" t="str">
        <f t="shared" si="65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7"/>
        <v/>
      </c>
    </row>
    <row r="377" spans="1:72">
      <c r="A377" s="162" t="str">
        <f t="shared" si="65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7"/>
        <v/>
      </c>
    </row>
    <row r="378" spans="1:72">
      <c r="A378" s="162" t="str">
        <f t="shared" si="65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7"/>
        <v/>
      </c>
    </row>
    <row r="379" spans="1:72">
      <c r="A379" s="162" t="str">
        <f t="shared" si="65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7"/>
        <v/>
      </c>
    </row>
    <row r="380" spans="1:72">
      <c r="A380" s="162" t="str">
        <f t="shared" si="65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7"/>
        <v/>
      </c>
    </row>
    <row r="381" spans="1:72">
      <c r="A381" s="162" t="str">
        <f t="shared" si="65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7"/>
        <v/>
      </c>
    </row>
    <row r="382" spans="1:72">
      <c r="A382" s="162" t="str">
        <f t="shared" si="65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7"/>
        <v/>
      </c>
    </row>
    <row r="383" spans="1:72">
      <c r="A383" s="162" t="str">
        <f t="shared" si="65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7"/>
        <v/>
      </c>
    </row>
    <row r="384" spans="1:72">
      <c r="A384" s="162" t="str">
        <f t="shared" si="65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7"/>
        <v/>
      </c>
    </row>
    <row r="385" spans="1:72">
      <c r="A385" s="162" t="str">
        <f t="shared" si="65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7"/>
        <v/>
      </c>
    </row>
    <row r="386" spans="1:72">
      <c r="A386" s="162" t="str">
        <f t="shared" si="65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7"/>
        <v/>
      </c>
    </row>
    <row r="387" spans="1:72">
      <c r="A387" s="162" t="str">
        <f t="shared" si="65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7"/>
        <v/>
      </c>
    </row>
    <row r="388" spans="1:72">
      <c r="A388" s="162" t="str">
        <f t="shared" si="65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7"/>
        <v/>
      </c>
    </row>
    <row r="389" spans="1:72">
      <c r="A389" s="162" t="str">
        <f t="shared" si="65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7"/>
        <v/>
      </c>
    </row>
    <row r="390" spans="1:72">
      <c r="A390" s="162" t="str">
        <f t="shared" si="65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7"/>
        <v/>
      </c>
    </row>
    <row r="391" spans="1:72">
      <c r="A391" s="162" t="str">
        <f t="shared" si="65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7"/>
        <v/>
      </c>
    </row>
    <row r="392" spans="1:72">
      <c r="A392" s="162" t="str">
        <f t="shared" si="65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7"/>
        <v/>
      </c>
    </row>
    <row r="393" spans="1:72">
      <c r="A393" s="162" t="str">
        <f t="shared" si="65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7"/>
        <v/>
      </c>
    </row>
    <row r="394" spans="1:72">
      <c r="A394" s="162" t="str">
        <f t="shared" si="65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7"/>
        <v/>
      </c>
    </row>
    <row r="395" spans="1:72">
      <c r="A395" s="162" t="str">
        <f t="shared" si="65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7"/>
        <v/>
      </c>
    </row>
    <row r="396" spans="1:72">
      <c r="A396" s="162" t="str">
        <f t="shared" si="65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7"/>
        <v/>
      </c>
    </row>
    <row r="397" spans="1:72">
      <c r="A397" s="162" t="str">
        <f t="shared" si="65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7"/>
        <v/>
      </c>
    </row>
    <row r="398" spans="1:72">
      <c r="A398" s="162" t="str">
        <f t="shared" si="65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7"/>
        <v/>
      </c>
    </row>
    <row r="399" spans="1:72">
      <c r="A399" s="162" t="str">
        <f t="shared" si="65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7"/>
        <v/>
      </c>
    </row>
    <row r="400" spans="1:72">
      <c r="A400" s="162" t="str">
        <f t="shared" si="65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7"/>
        <v/>
      </c>
    </row>
    <row r="401" spans="1:72">
      <c r="A401" s="162" t="str">
        <f t="shared" si="65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7"/>
        <v/>
      </c>
    </row>
    <row r="402" spans="1:72">
      <c r="A402" s="162" t="str">
        <f t="shared" si="65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7"/>
        <v/>
      </c>
    </row>
    <row r="403" spans="1:72">
      <c r="A403" s="162" t="str">
        <f t="shared" si="65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7"/>
        <v/>
      </c>
    </row>
    <row r="404" spans="1:72">
      <c r="A404" s="162" t="str">
        <f t="shared" si="65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7"/>
        <v/>
      </c>
    </row>
    <row r="405" spans="1:72">
      <c r="A405" s="162" t="str">
        <f t="shared" si="65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7"/>
        <v/>
      </c>
    </row>
    <row r="406" spans="1:72">
      <c r="A406" s="162" t="str">
        <f t="shared" si="65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7"/>
        <v/>
      </c>
    </row>
    <row r="407" spans="1:72">
      <c r="A407" s="162" t="str">
        <f t="shared" si="65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7"/>
        <v/>
      </c>
    </row>
    <row r="408" spans="1:72">
      <c r="A408" s="162" t="str">
        <f t="shared" si="65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7"/>
        <v/>
      </c>
    </row>
    <row r="409" spans="1:72">
      <c r="A409" s="162" t="str">
        <f t="shared" si="65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7"/>
        <v/>
      </c>
    </row>
    <row r="410" spans="1:72">
      <c r="A410" s="162" t="str">
        <f t="shared" si="65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7"/>
        <v/>
      </c>
    </row>
    <row r="411" spans="1:72">
      <c r="A411" s="162" t="str">
        <f t="shared" si="65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7"/>
        <v/>
      </c>
    </row>
    <row r="412" spans="1:72">
      <c r="A412" s="162" t="str">
        <f t="shared" ref="A412:A446" si="68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7"/>
        <v/>
      </c>
    </row>
    <row r="413" spans="1:72">
      <c r="A413" s="162" t="str">
        <f t="shared" si="68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7"/>
        <v/>
      </c>
    </row>
    <row r="414" spans="1:72">
      <c r="A414" s="162" t="str">
        <f t="shared" si="68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7"/>
        <v/>
      </c>
    </row>
    <row r="415" spans="1:72">
      <c r="A415" s="162" t="str">
        <f t="shared" si="68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7"/>
        <v/>
      </c>
    </row>
    <row r="416" spans="1:72">
      <c r="A416" s="162" t="str">
        <f t="shared" si="68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>
      <c r="A417" s="162" t="str">
        <f t="shared" si="68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>
      <c r="A418" s="162" t="str">
        <f t="shared" si="68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>
      <c r="A419" s="162" t="str">
        <f t="shared" si="68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>
      <c r="A420" s="162" t="str">
        <f t="shared" si="68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>
      <c r="A421" s="162" t="str">
        <f t="shared" si="68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>
      <c r="A422" s="162" t="str">
        <f t="shared" si="68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>
      <c r="A423" s="162" t="str">
        <f t="shared" si="68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>
      <c r="A424" s="162" t="str">
        <f t="shared" si="68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>
      <c r="A425" s="162" t="str">
        <f t="shared" si="68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>
      <c r="A426" s="162" t="str">
        <f t="shared" si="68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>
      <c r="A427" s="162" t="str">
        <f t="shared" si="68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>
      <c r="A428" s="162" t="str">
        <f t="shared" si="68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>
      <c r="A429" s="162" t="str">
        <f t="shared" si="68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>
      <c r="A430" s="162" t="str">
        <f t="shared" si="68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>
      <c r="A431" s="162" t="str">
        <f t="shared" si="68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>
      <c r="A432" s="162" t="str">
        <f t="shared" si="68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>
      <c r="A433" s="162" t="str">
        <f t="shared" si="68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>
      <c r="A434" s="162" t="str">
        <f t="shared" si="68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>
      <c r="A435" s="162" t="str">
        <f t="shared" si="68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>
      <c r="A436" s="162" t="str">
        <f t="shared" si="68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>
      <c r="A437" s="162" t="str">
        <f t="shared" si="68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>
      <c r="A438" s="162" t="str">
        <f t="shared" si="68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>
      <c r="A439" s="162" t="str">
        <f t="shared" si="68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>
      <c r="A440" s="162" t="str">
        <f t="shared" si="68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>
      <c r="A441" s="162" t="str">
        <f t="shared" si="68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>
      <c r="A442" s="162" t="str">
        <f t="shared" si="68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>
      <c r="A443" s="162" t="str">
        <f t="shared" si="68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>
      <c r="A444" s="162" t="str">
        <f t="shared" si="68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>
      <c r="A445" s="162" t="str">
        <f t="shared" si="68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>
      <c r="A446" s="162" t="str">
        <f t="shared" si="68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69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69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493 BK33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1744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105</v>
      </c>
      <c r="D3" s="316" t="s">
        <v>1745</v>
      </c>
      <c r="E3" s="316" t="s">
        <v>1746</v>
      </c>
      <c r="F3" s="316" t="s">
        <v>1747</v>
      </c>
      <c r="G3" s="316" t="s">
        <v>1748</v>
      </c>
      <c r="H3" s="316" t="s">
        <v>1749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1750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1751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G325" sqref="G315:H32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1752</v>
      </c>
      <c r="W1" s="397"/>
      <c r="X1" s="397"/>
      <c r="Y1" s="103"/>
    </row>
    <row r="2" spans="1:25" s="100" customFormat="1" ht="11.25" customHeight="1">
      <c r="A2" s="104" t="s">
        <v>1753</v>
      </c>
      <c r="B2" s="104" t="s">
        <v>1754</v>
      </c>
      <c r="C2" s="104" t="s">
        <v>7</v>
      </c>
      <c r="D2" s="105" t="s">
        <v>1177</v>
      </c>
      <c r="E2" s="105" t="s">
        <v>1178</v>
      </c>
      <c r="F2" s="105" t="s">
        <v>1755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1756</v>
      </c>
      <c r="U2" s="107" t="s">
        <v>1180</v>
      </c>
      <c r="V2" s="102">
        <f ca="1">TODAY()-1</f>
        <v>46042</v>
      </c>
      <c r="W2" s="102">
        <f ca="1">V2-1</f>
        <v>46041</v>
      </c>
      <c r="X2" s="102">
        <f ca="1">W2-1</f>
        <v>46040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1894</v>
      </c>
      <c r="W7" s="111">
        <f ca="1">_xlfn.XLOOKUP(G7&amp;$W$2,BS_CONTROLE[CHAVE],BS_CONTROLE[Quantidade_11],"-")</f>
        <v>1880</v>
      </c>
      <c r="X7" s="111">
        <f ca="1">_xlfn.XLOOKUP(G7&amp;$X$2,BS_CONTROLE[CHAVE],BS_CONTROLE[Quantidade_11],"-")</f>
        <v>2312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>
        <f ca="1">_xlfn.XLOOKUP(G9&amp;$W$2,BS_CONTROLE[CHAVE],BS_CONTROLE[Quantidade_11],"-")</f>
        <v>1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1894</v>
      </c>
      <c r="W10" s="111">
        <f ca="1">_xlfn.XLOOKUP(G10&amp;$W$2,BS_CONTROLE[CHAVE],BS_CONTROLE[Quantidade_11],"-")</f>
        <v>1880</v>
      </c>
      <c r="X10" s="111">
        <f ca="1">_xlfn.XLOOKUP(G10&amp;$X$2,BS_CONTROLE[CHAVE],BS_CONTROLE[Quantidade_11],"-")</f>
        <v>2312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1316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>
        <f ca="1">_xlfn.XLOOKUP(G14&amp;$W$2,BS_CONTROLE[CHAVE],BS_CONTROLE[Quantidade_11],"-")</f>
        <v>1248</v>
      </c>
      <c r="X14" s="111">
        <f ca="1">_xlfn.XLOOKUP(G14&amp;$X$2,BS_CONTROLE[CHAVE],BS_CONTROLE[Quantidade_11],"-")</f>
        <v>624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>
        <f ca="1">_xlfn.XLOOKUP(G16&amp;$W$2,BS_CONTROLE[CHAVE],BS_CONTROLE[Quantidade_11],"-")</f>
        <v>1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1894</v>
      </c>
      <c r="W18" s="111">
        <f ca="1">_xlfn.XLOOKUP(G18&amp;$W$2,BS_CONTROLE[CHAVE],BS_CONTROLE[Quantidade_11],"-")</f>
        <v>1880</v>
      </c>
      <c r="X18" s="111">
        <f ca="1">_xlfn.XLOOKUP(G18&amp;$X$2,BS_CONTROLE[CHAVE],BS_CONTROLE[Quantidade_11],"-")</f>
        <v>2312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1316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1894</v>
      </c>
      <c r="W23" s="111">
        <f ca="1">_xlfn.XLOOKUP(G23&amp;$W$2,BS_CONTROLE[CHAVE],BS_CONTROLE[Quantidade_11],"-")</f>
        <v>1880</v>
      </c>
      <c r="X23" s="111">
        <f ca="1">_xlfn.XLOOKUP(G23&amp;$X$2,BS_CONTROLE[CHAVE],BS_CONTROLE[Quantidade_11],"-")</f>
        <v>2312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>
        <f ca="1">_xlfn.XLOOKUP(G28&amp;$W$2,BS_CONTROLE[CHAVE],BS_CONTROLE[Quantidade_11],"-")</f>
        <v>1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1894</v>
      </c>
      <c r="W29" s="111">
        <f ca="1">_xlfn.XLOOKUP(G29&amp;$W$2,BS_CONTROLE[CHAVE],BS_CONTROLE[Quantidade_11],"-")</f>
        <v>1880</v>
      </c>
      <c r="X29" s="111">
        <f ca="1">_xlfn.XLOOKUP(G29&amp;$X$2,BS_CONTROLE[CHAVE],BS_CONTROLE[Quantidade_11],"-")</f>
        <v>2312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1316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3</v>
      </c>
      <c r="W31" s="111">
        <f ca="1">_xlfn.XLOOKUP(G31&amp;$W$2,BS_CONTROLE[CHAVE],BS_CONTROLE[Quantidade_11],"-")</f>
        <v>2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179</v>
      </c>
      <c r="W32" s="111">
        <f ca="1">_xlfn.XLOOKUP(G32&amp;$W$2,BS_CONTROLE[CHAVE],BS_CONTROLE[Quantidade_11],"-")</f>
        <v>289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>
        <f ca="1">_xlfn.XLOOKUP(G35&amp;$W$2,BS_CONTROLE[CHAVE],BS_CONTROLE[Quantidade_11],"-")</f>
        <v>1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1894</v>
      </c>
      <c r="W38" s="111">
        <f ca="1">_xlfn.XLOOKUP(G38&amp;$W$2,BS_CONTROLE[CHAVE],BS_CONTROLE[Quantidade_11],"-")</f>
        <v>1880</v>
      </c>
      <c r="X38" s="111">
        <f ca="1">_xlfn.XLOOKUP(G38&amp;$X$2,BS_CONTROLE[CHAVE],BS_CONTROLE[Quantidade_11],"-")</f>
        <v>2312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>
        <f ca="1">_xlfn.XLOOKUP(G40&amp;$W$2,BS_CONTROLE[CHAVE],BS_CONTROLE[Quantidade_11],"-")</f>
        <v>1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179</v>
      </c>
      <c r="W44" s="111">
        <f ca="1">_xlfn.XLOOKUP(G44&amp;$W$2,BS_CONTROLE[CHAVE],BS_CONTROLE[Quantidade_11],"-")</f>
        <v>289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>
        <f ca="1">_xlfn.XLOOKUP(G45&amp;$W$2,BS_CONTROLE[CHAVE],BS_CONTROLE[Quantidade_11],"-")</f>
        <v>1248</v>
      </c>
      <c r="X45" s="111">
        <f ca="1">_xlfn.XLOOKUP(G45&amp;$X$2,BS_CONTROLE[CHAVE],BS_CONTROLE[Quantidade_11],"-")</f>
        <v>624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1316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1894</v>
      </c>
      <c r="W52" s="111">
        <f ca="1">_xlfn.XLOOKUP(G52&amp;$W$2,BS_CONTROLE[CHAVE],BS_CONTROLE[Quantidade_11],"-")</f>
        <v>1880</v>
      </c>
      <c r="X52" s="111">
        <f ca="1">_xlfn.XLOOKUP(G52&amp;$X$2,BS_CONTROLE[CHAVE],BS_CONTROLE[Quantidade_11],"-")</f>
        <v>2312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>
        <f ca="1">_xlfn.XLOOKUP(G54&amp;$W$2,BS_CONTROLE[CHAVE],BS_CONTROLE[Quantidade_11],"-")</f>
        <v>1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>
        <f ca="1">_xlfn.XLOOKUP(G55&amp;$W$2,BS_CONTROLE[CHAVE],BS_CONTROLE[Quantidade_11],"-")</f>
        <v>1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>
        <f ca="1">_xlfn.XLOOKUP(G57&amp;$W$2,BS_CONTROLE[CHAVE],BS_CONTROLE[Quantidade_11],"-")</f>
        <v>1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3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1316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>
        <f ca="1">_xlfn.XLOOKUP(G68&amp;$W$2,BS_CONTROLE[CHAVE],BS_CONTROLE[Quantidade_11],"-")</f>
        <v>1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1894</v>
      </c>
      <c r="W70" s="111">
        <f ca="1">_xlfn.XLOOKUP(G70&amp;$W$2,BS_CONTROLE[CHAVE],BS_CONTROLE[Quantidade_11],"-")</f>
        <v>1880</v>
      </c>
      <c r="X70" s="111">
        <f ca="1">_xlfn.XLOOKUP(G70&amp;$X$2,BS_CONTROLE[CHAVE],BS_CONTROLE[Quantidade_11],"-")</f>
        <v>2312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>
        <f ca="1">_xlfn.XLOOKUP(G72&amp;$W$2,BS_CONTROLE[CHAVE],BS_CONTROLE[Quantidade_11],"-")</f>
        <v>1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1248</v>
      </c>
      <c r="X78" s="111">
        <f ca="1">_xlfn.XLOOKUP(G78&amp;$X$2,BS_CONTROLE[CHAVE],BS_CONTROLE[Quantidade_11],"-")</f>
        <v>624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3</v>
      </c>
      <c r="W79" s="111">
        <f ca="1">_xlfn.XLOOKUP(G79&amp;$W$2,BS_CONTROLE[CHAVE],BS_CONTROLE[Quantidade_11],"-")</f>
        <v>2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1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1894</v>
      </c>
      <c r="W92" s="111">
        <f ca="1">_xlfn.XLOOKUP(G92&amp;$W$2,BS_CONTROLE[CHAVE],BS_CONTROLE[Quantidade_11],"-")</f>
        <v>1880</v>
      </c>
      <c r="X92" s="111">
        <f ca="1">_xlfn.XLOOKUP(G92&amp;$X$2,BS_CONTROLE[CHAVE],BS_CONTROLE[Quantidade_11],"-")</f>
        <v>2312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>
        <f ca="1">_xlfn.XLOOKUP(G93&amp;$W$2,BS_CONTROLE[CHAVE],BS_CONTROLE[Quantidade_11],"-")</f>
        <v>1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>
        <f ca="1">_xlfn.XLOOKUP(G97&amp;$W$2,BS_CONTROLE[CHAVE],BS_CONTROLE[Quantidade_11],"-")</f>
        <v>1248</v>
      </c>
      <c r="X97" s="111">
        <f ca="1">_xlfn.XLOOKUP(G97&amp;$X$2,BS_CONTROLE[CHAVE],BS_CONTROLE[Quantidade_11],"-")</f>
        <v>624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3</v>
      </c>
      <c r="W99" s="111">
        <f ca="1">_xlfn.XLOOKUP(G99&amp;$W$2,BS_CONTROLE[CHAVE],BS_CONTROLE[Quantidade_11],"-")</f>
        <v>2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1316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1894</v>
      </c>
      <c r="W119" s="111">
        <f ca="1">_xlfn.XLOOKUP(G119&amp;$W$2,BS_CONTROLE[CHAVE],BS_CONTROLE[Quantidade_11],"-")</f>
        <v>1880</v>
      </c>
      <c r="X119" s="111">
        <f ca="1">_xlfn.XLOOKUP(G119&amp;$X$2,BS_CONTROLE[CHAVE],BS_CONTROLE[Quantidade_11],"-")</f>
        <v>2312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>
        <f ca="1">_xlfn.XLOOKUP(G120&amp;$W$2,BS_CONTROLE[CHAVE],BS_CONTROLE[Quantidade_11],"-")</f>
        <v>1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>
        <f ca="1">_xlfn.XLOOKUP(G121&amp;$W$2,BS_CONTROLE[CHAVE],BS_CONTROLE[Quantidade_11],"-")</f>
        <v>1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3</v>
      </c>
      <c r="W124" s="111">
        <f ca="1">_xlfn.XLOOKUP(G124&amp;$W$2,BS_CONTROLE[CHAVE],BS_CONTROLE[Quantidade_11],"-")</f>
        <v>2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1894</v>
      </c>
      <c r="W128" s="111">
        <f ca="1">_xlfn.XLOOKUP(G128&amp;$W$2,BS_CONTROLE[CHAVE],BS_CONTROLE[Quantidade_11],"-")</f>
        <v>1880</v>
      </c>
      <c r="X128" s="111">
        <f ca="1">_xlfn.XLOOKUP(G128&amp;$X$2,BS_CONTROLE[CHAVE],BS_CONTROLE[Quantidade_11],"-")</f>
        <v>2312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1316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1894</v>
      </c>
      <c r="W135" s="111">
        <f ca="1">_xlfn.XLOOKUP(G135&amp;$W$2,BS_CONTROLE[CHAVE],BS_CONTROLE[Quantidade_11],"-")</f>
        <v>1880</v>
      </c>
      <c r="X135" s="111">
        <f ca="1">_xlfn.XLOOKUP(G135&amp;$X$2,BS_CONTROLE[CHAVE],BS_CONTROLE[Quantidade_11],"-")</f>
        <v>2312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>
        <f ca="1">_xlfn.XLOOKUP(G138&amp;$W$2,BS_CONTROLE[CHAVE],BS_CONTROLE[Quantidade_11],"-")</f>
        <v>1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>
        <f ca="1">_xlfn.XLOOKUP(G139&amp;$W$2,BS_CONTROLE[CHAVE],BS_CONTROLE[Quantidade_11],"-")</f>
        <v>1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179</v>
      </c>
      <c r="W140" s="111">
        <f ca="1">_xlfn.XLOOKUP(G140&amp;$W$2,BS_CONTROLE[CHAVE],BS_CONTROLE[Quantidade_11],"-")</f>
        <v>289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1248</v>
      </c>
      <c r="X153" s="111">
        <f ca="1">_xlfn.XLOOKUP(G153&amp;$X$2,BS_CONTROLE[CHAVE],BS_CONTROLE[Quantidade_11],"-")</f>
        <v>624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1894</v>
      </c>
      <c r="W156" s="111">
        <f ca="1">_xlfn.XLOOKUP(G156&amp;$W$2,BS_CONTROLE[CHAVE],BS_CONTROLE[Quantidade_11],"-")</f>
        <v>1880</v>
      </c>
      <c r="X156" s="111">
        <f ca="1">_xlfn.XLOOKUP(G156&amp;$X$2,BS_CONTROLE[CHAVE],BS_CONTROLE[Quantidade_11],"-")</f>
        <v>2312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>
        <f ca="1">_xlfn.XLOOKUP(G159&amp;$W$2,BS_CONTROLE[CHAVE],BS_CONTROLE[Quantidade_11],"-")</f>
        <v>1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>
        <f ca="1">_xlfn.XLOOKUP(G161&amp;$W$2,BS_CONTROLE[CHAVE],BS_CONTROLE[Quantidade_11],"-")</f>
        <v>1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1316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3</v>
      </c>
      <c r="W165" s="111">
        <f ca="1">_xlfn.XLOOKUP(G165&amp;$W$2,BS_CONTROLE[CHAVE],BS_CONTROLE[Quantidade_11],"-")</f>
        <v>2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179</v>
      </c>
      <c r="W169" s="111">
        <f ca="1">_xlfn.XLOOKUP(G169&amp;$W$2,BS_CONTROLE[CHAVE],BS_CONTROLE[Quantidade_11],"-")</f>
        <v>289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1894</v>
      </c>
      <c r="W182" s="111">
        <f ca="1">_xlfn.XLOOKUP(G182&amp;$W$2,BS_CONTROLE[CHAVE],BS_CONTROLE[Quantidade_11],"-")</f>
        <v>1880</v>
      </c>
      <c r="X182" s="111">
        <f ca="1">_xlfn.XLOOKUP(G182&amp;$X$2,BS_CONTROLE[CHAVE],BS_CONTROLE[Quantidade_11],"-")</f>
        <v>2312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>
        <f ca="1">_xlfn.XLOOKUP(G183&amp;$W$2,BS_CONTROLE[CHAVE],BS_CONTROLE[Quantidade_11],"-")</f>
        <v>1248</v>
      </c>
      <c r="X183" s="111">
        <f ca="1">_xlfn.XLOOKUP(G183&amp;$X$2,BS_CONTROLE[CHAVE],BS_CONTROLE[Quantidade_11],"-")</f>
        <v>624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>
        <f ca="1">_xlfn.XLOOKUP(G184&amp;$W$2,BS_CONTROLE[CHAVE],BS_CONTROLE[Quantidade_11],"-")</f>
        <v>1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>
        <f ca="1">_xlfn.XLOOKUP(G187&amp;$W$2,BS_CONTROLE[CHAVE],BS_CONTROLE[Quantidade_11],"-")</f>
        <v>1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179</v>
      </c>
      <c r="W190" s="111">
        <f ca="1">_xlfn.XLOOKUP(G190&amp;$W$2,BS_CONTROLE[CHAVE],BS_CONTROLE[Quantidade_11],"-")</f>
        <v>289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3</v>
      </c>
      <c r="W193" s="111">
        <f ca="1">_xlfn.XLOOKUP(G193&amp;$W$2,BS_CONTROLE[CHAVE],BS_CONTROLE[Quantidade_11],"-")</f>
        <v>2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1894</v>
      </c>
      <c r="W204" s="111">
        <f ca="1">_xlfn.XLOOKUP(G204&amp;$W$2,BS_CONTROLE[CHAVE],BS_CONTROLE[Quantidade_11],"-")</f>
        <v>1880</v>
      </c>
      <c r="X204" s="111">
        <f ca="1">_xlfn.XLOOKUP(G204&amp;$X$2,BS_CONTROLE[CHAVE],BS_CONTROLE[Quantidade_11],"-")</f>
        <v>2312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1248</v>
      </c>
      <c r="X207" s="111">
        <f ca="1">_xlfn.XLOOKUP(G207&amp;$X$2,BS_CONTROLE[CHAVE],BS_CONTROLE[Quantidade_11],"-")</f>
        <v>624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179</v>
      </c>
      <c r="W212" s="111">
        <f ca="1">_xlfn.XLOOKUP(G212&amp;$W$2,BS_CONTROLE[CHAVE],BS_CONTROLE[Quantidade_11],"-")</f>
        <v>289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>
        <f ca="1">_xlfn.XLOOKUP(G214&amp;$W$2,BS_CONTROLE[CHAVE],BS_CONTROLE[Quantidade_11],"-")</f>
        <v>1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3</v>
      </c>
      <c r="W218" s="111">
        <f ca="1">_xlfn.XLOOKUP(G218&amp;$W$2,BS_CONTROLE[CHAVE],BS_CONTROLE[Quantidade_11],"-")</f>
        <v>2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1894</v>
      </c>
      <c r="W227" s="111">
        <f ca="1">_xlfn.XLOOKUP(G227&amp;$W$2,BS_CONTROLE[CHAVE],BS_CONTROLE[Quantidade_11],"-")</f>
        <v>1880</v>
      </c>
      <c r="X227" s="111">
        <f ca="1">_xlfn.XLOOKUP(G227&amp;$X$2,BS_CONTROLE[CHAVE],BS_CONTROLE[Quantidade_11],"-")</f>
        <v>2312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>
        <f ca="1">_xlfn.XLOOKUP(G229&amp;$W$2,BS_CONTROLE[CHAVE],BS_CONTROLE[Quantidade_11],"-")</f>
        <v>1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>
        <f ca="1">_xlfn.XLOOKUP(G230&amp;$W$2,BS_CONTROLE[CHAVE],BS_CONTROLE[Quantidade_11],"-")</f>
        <v>1248</v>
      </c>
      <c r="X230" s="111">
        <f ca="1">_xlfn.XLOOKUP(G230&amp;$X$2,BS_CONTROLE[CHAVE],BS_CONTROLE[Quantidade_11],"-")</f>
        <v>624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>
        <f ca="1">_xlfn.XLOOKUP(G234&amp;$W$2,BS_CONTROLE[CHAVE],BS_CONTROLE[Quantidade_11],"-")</f>
        <v>1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1316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3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1894</v>
      </c>
      <c r="W253" s="111">
        <f ca="1">_xlfn.XLOOKUP(G253&amp;$W$2,BS_CONTROLE[CHAVE],BS_CONTROLE[Quantidade_11],"-")</f>
        <v>1880</v>
      </c>
      <c r="X253" s="111">
        <f ca="1">_xlfn.XLOOKUP(G253&amp;$X$2,BS_CONTROLE[CHAVE],BS_CONTROLE[Quantidade_11],"-")</f>
        <v>2312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>
        <f ca="1">_xlfn.XLOOKUP(G256&amp;$W$2,BS_CONTROLE[CHAVE],BS_CONTROLE[Quantidade_11],"-")</f>
        <v>1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>
        <f ca="1">_xlfn.XLOOKUP(G259&amp;$W$2,BS_CONTROLE[CHAVE],BS_CONTROLE[Quantidade_11],"-")</f>
        <v>1248</v>
      </c>
      <c r="X259" s="111">
        <f ca="1">_xlfn.XLOOKUP(G259&amp;$X$2,BS_CONTROLE[CHAVE],BS_CONTROLE[Quantidade_11],"-")</f>
        <v>624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>
        <f ca="1">_xlfn.XLOOKUP(G262&amp;$W$2,BS_CONTROLE[CHAVE],BS_CONTROLE[Quantidade_11],"-")</f>
        <v>1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3</v>
      </c>
      <c r="W265" s="111">
        <f ca="1">_xlfn.XLOOKUP(G265&amp;$W$2,BS_CONTROLE[CHAVE],BS_CONTROLE[Quantidade_11],"-")</f>
        <v>2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1894</v>
      </c>
      <c r="W269" s="111">
        <f ca="1">_xlfn.XLOOKUP(G269&amp;$W$2,BS_CONTROLE[CHAVE],BS_CONTROLE[Quantidade_11],"-")</f>
        <v>1880</v>
      </c>
      <c r="X269" s="111">
        <f ca="1">_xlfn.XLOOKUP(G269&amp;$X$2,BS_CONTROLE[CHAVE],BS_CONTROLE[Quantidade_11],"-")</f>
        <v>2312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1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>
        <f ca="1">_xlfn.XLOOKUP(G272&amp;$W$2,BS_CONTROLE[CHAVE],BS_CONTROLE[Quantidade_11],"-")</f>
        <v>1248</v>
      </c>
      <c r="X272" s="111">
        <f ca="1">_xlfn.XLOOKUP(G272&amp;$X$2,BS_CONTROLE[CHAVE],BS_CONTROLE[Quantidade_11],"-")</f>
        <v>624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1894</v>
      </c>
      <c r="W278" s="111">
        <f ca="1">_xlfn.XLOOKUP(G278&amp;$W$2,BS_CONTROLE[CHAVE],BS_CONTROLE[Quantidade_11],"-")</f>
        <v>1880</v>
      </c>
      <c r="X278" s="111">
        <f ca="1">_xlfn.XLOOKUP(G278&amp;$X$2,BS_CONTROLE[CHAVE],BS_CONTROLE[Quantidade_11],"-")</f>
        <v>2312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>
        <f ca="1">_xlfn.XLOOKUP(G281&amp;$W$2,BS_CONTROLE[CHAVE],BS_CONTROLE[Quantidade_11],"-")</f>
        <v>1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>
        <f ca="1">_xlfn.XLOOKUP(G284&amp;$W$2,BS_CONTROLE[CHAVE],BS_CONTROLE[Quantidade_11],"-")</f>
        <v>1248</v>
      </c>
      <c r="X284" s="111">
        <f ca="1">_xlfn.XLOOKUP(G284&amp;$X$2,BS_CONTROLE[CHAVE],BS_CONTROLE[Quantidade_11],"-")</f>
        <v>624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>
        <f ca="1">_xlfn.XLOOKUP(G285&amp;$W$2,BS_CONTROLE[CHAVE],BS_CONTROLE[Quantidade_11],"-")</f>
        <v>1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>
        <f ca="1">_xlfn.XLOOKUP(G286&amp;$W$2,BS_CONTROLE[CHAVE],BS_CONTROLE[Quantidade_11],"-")</f>
        <v>1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1316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3</v>
      </c>
      <c r="W289" s="111">
        <f ca="1">_xlfn.XLOOKUP(G289&amp;$W$2,BS_CONTROLE[CHAVE],BS_CONTROLE[Quantidade_11],"-")</f>
        <v>2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179</v>
      </c>
      <c r="W292" s="111">
        <f ca="1">_xlfn.XLOOKUP(G292&amp;$W$2,BS_CONTROLE[CHAVE],BS_CONTROLE[Quantidade_11],"-")</f>
        <v>289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>
        <f ca="1">_xlfn.XLOOKUP(G298&amp;$W$2,BS_CONTROLE[CHAVE],BS_CONTROLE[Quantidade_11],"-")</f>
        <v>1248</v>
      </c>
      <c r="X298" s="111">
        <f ca="1">_xlfn.XLOOKUP(G298&amp;$X$2,BS_CONTROLE[CHAVE],BS_CONTROLE[Quantidade_11],"-")</f>
        <v>624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1894</v>
      </c>
      <c r="W299" s="111">
        <f ca="1">_xlfn.XLOOKUP(G299&amp;$W$2,BS_CONTROLE[CHAVE],BS_CONTROLE[Quantidade_11],"-")</f>
        <v>1880</v>
      </c>
      <c r="X299" s="111">
        <f ca="1">_xlfn.XLOOKUP(G299&amp;$X$2,BS_CONTROLE[CHAVE],BS_CONTROLE[Quantidade_11],"-")</f>
        <v>2312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>
        <f ca="1">_xlfn.XLOOKUP(G300&amp;$W$2,BS_CONTROLE[CHAVE],BS_CONTROLE[Quantidade_11],"-")</f>
        <v>1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>
        <f ca="1">_xlfn.XLOOKUP(G301&amp;$V$2,BS_CONTROLE[CHAVE],BS_CONTROLE[Quantidade_11],"-")</f>
        <v>1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3</v>
      </c>
      <c r="W303" s="111">
        <f ca="1">_xlfn.XLOOKUP(G303&amp;$W$2,BS_CONTROLE[CHAVE],BS_CONTROLE[Quantidade_11],"-")</f>
        <v>2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179</v>
      </c>
      <c r="W304" s="111">
        <f ca="1">_xlfn.XLOOKUP(G304&amp;$W$2,BS_CONTROLE[CHAVE],BS_CONTROLE[Quantidade_11],"-")</f>
        <v>289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1316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0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1894</v>
      </c>
      <c r="W311" s="111">
        <f ca="1">_xlfn.XLOOKUP(G311&amp;$W$2,BS_CONTROLE[CHAVE],BS_CONTROLE[Quantidade_11],"-")</f>
        <v>1880</v>
      </c>
      <c r="X311" s="111">
        <f ca="1">_xlfn.XLOOKUP(G311&amp;$X$2,BS_CONTROLE[CHAVE],BS_CONTROLE[Quantidade_11],"-")</f>
        <v>2312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>
        <f ca="1">_xlfn.XLOOKUP(G313&amp;$W$2,BS_CONTROLE[CHAVE],BS_CONTROLE[Quantidade_11],"-")</f>
        <v>1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179</v>
      </c>
      <c r="W315" s="111">
        <f ca="1">_xlfn.XLOOKUP(G315&amp;$W$2,BS_CONTROLE[CHAVE],BS_CONTROLE[Quantidade_11],"-")</f>
        <v>289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>
        <f ca="1">_xlfn.XLOOKUP(G317&amp;$W$2,BS_CONTROLE[CHAVE],BS_CONTROLE[Quantidade_11],"-")</f>
        <v>1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3</v>
      </c>
      <c r="W320" s="111">
        <f ca="1">_xlfn.XLOOKUP(G320&amp;$W$2,BS_CONTROLE[CHAVE],BS_CONTROLE[Quantidade_11],"-")</f>
        <v>2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1316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8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W70</v>
      </c>
      <c r="H338" s="109" t="str">
        <f>IF(FN_MC!F341="","*",FN_MC!F341)</f>
        <v>PDM - PEDRA - DESCARGA</v>
      </c>
      <c r="I338" s="109" t="str">
        <f>IF(FN_MC!H341="","*",FN_MC!H341)</f>
        <v>TIQ</v>
      </c>
      <c r="J338" s="109" t="str">
        <f>IF(FN_MC!I341="","*",FN_MC!I341)</f>
        <v>TGR2</v>
      </c>
      <c r="K338" s="109" t="str">
        <f>IF(FN_MC!M341="","*",FN_MC!M341)</f>
        <v>TAL-TSF</v>
      </c>
      <c r="L338" s="328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28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1</v>
      </c>
      <c r="W338" s="111">
        <f ca="1">_xlfn.XLOOKUP(G338&amp;$W$2,BS_CONTROLE[CHAVE],BS_CONTROLE[Quantidade_11],"-")</f>
        <v>1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8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1894</v>
      </c>
      <c r="W341" s="111">
        <f ca="1">_xlfn.XLOOKUP(G341&amp;$W$2,BS_CONTROLE[CHAVE],BS_CONTROLE[Quantidade_11],"-")</f>
        <v>1880</v>
      </c>
      <c r="X341" s="111">
        <f ca="1">_xlfn.XLOOKUP(G341&amp;$X$2,BS_CONTROLE[CHAVE],BS_CONTROLE[Quantidade_11],"-")</f>
        <v>2312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28" t="str">
        <f>IF(FN_MC!N346="","*",FN_MC!N346)</f>
        <v>-</v>
      </c>
      <c r="M343" s="110" t="str">
        <f>IF(FN_MC!J346="","*",FN_MC!J346)</f>
        <v>*</v>
      </c>
      <c r="N343" s="291" t="str">
        <f>IF(FN_MC!K346="","*",FN_MC!K346)</f>
        <v>*</v>
      </c>
      <c r="O343" s="291" t="str">
        <f>IF(FN_MC!L346="","*",FN_MC!L346)</f>
        <v>*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*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294THE/THE1</v>
      </c>
      <c r="J345" s="109" t="str">
        <f>IF(FN_MC!I348="","*",FN_MC!I348)</f>
        <v>-</v>
      </c>
      <c r="K345" s="109" t="str">
        <f>IF(FN_MC!M348="","*",FN_MC!M348)</f>
        <v>TRC-THE</v>
      </c>
      <c r="L345" s="328" t="str">
        <f>IF(FN_MC!N348="","*",FN_MC!N348)</f>
        <v>294THE/THE1</v>
      </c>
      <c r="M345" s="110">
        <f>IF(FN_MC!J348="","*",FN_MC!J348)</f>
        <v>74</v>
      </c>
      <c r="N345" s="291">
        <f>IF(FN_MC!K348="","*",FN_MC!K348)</f>
        <v>300.89999999999998</v>
      </c>
      <c r="O345" s="291">
        <f>IF(FN_MC!L348="","*",FN_MC!L348)</f>
        <v>301.3</v>
      </c>
      <c r="P345" s="110"/>
      <c r="Q345" s="127">
        <f>IF(FN_MC!O348="","*",FN_MC!O348)</f>
        <v>0.375</v>
      </c>
      <c r="R345" s="127">
        <f>IF(FN_MC!P348="","*",FN_MC!P348)</f>
        <v>8.3333333333333329E-2</v>
      </c>
      <c r="S345" s="109" t="str">
        <f>IF(FN_MC!Q348="","*",CONCATENATE(FN_MC!Q348," ",FN_MC!R348))</f>
        <v>2 Nº DE SOLDA</v>
      </c>
      <c r="T345" s="109" t="str">
        <f>IF(FN_MC!V348="","*",FN_MC!V348)</f>
        <v>Elton</v>
      </c>
      <c r="U345" s="109" t="str">
        <f>IF(FN_MC!W348="","*",FN_MC!W348)</f>
        <v>Execução de solda do km 300,9 ao 301,3</v>
      </c>
      <c r="V345" s="111">
        <f ca="1">_xlfn.XLOOKUP(G345&amp;$V$2,BS_CONTROLE[CHAVE],BS_CONTROLE[Quantidade_11],"-")</f>
        <v>2</v>
      </c>
      <c r="W345" s="111">
        <f ca="1">_xlfn.XLOOKUP(G345&amp;$W$2,BS_CONTROLE[CHAVE],BS_CONTROLE[Quantidade_11],"-")</f>
        <v>1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294THE</v>
      </c>
      <c r="J348" s="109" t="str">
        <f>IF(FN_MC!I351="","*",FN_MC!I351)</f>
        <v>-</v>
      </c>
      <c r="K348" s="109" t="str">
        <f>IF(FN_MC!M351="","*",FN_MC!M351)</f>
        <v>TRC-THE</v>
      </c>
      <c r="L348" s="328" t="str">
        <f>IF(FN_MC!N351="","*",FN_MC!N351)</f>
        <v>294THE</v>
      </c>
      <c r="M348" s="110">
        <f>IF(FN_MC!J351="","*",FN_MC!J351)</f>
        <v>74</v>
      </c>
      <c r="N348" s="291">
        <f>IF(FN_MC!K351="","*",FN_MC!K351)</f>
        <v>294</v>
      </c>
      <c r="O348" s="291">
        <f>IF(FN_MC!L351="","*",FN_MC!L351)</f>
        <v>400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28" t="str">
        <f>IF(FN_MC!N354="","*",FN_MC!N354)</f>
        <v>-</v>
      </c>
      <c r="M351" s="110" t="str">
        <f>IF(FN_MC!J354="","*",FN_MC!J354)</f>
        <v>*</v>
      </c>
      <c r="N351" s="291" t="str">
        <f>IF(FN_MC!K354="","*",FN_MC!K354)</f>
        <v>*</v>
      </c>
      <c r="O351" s="291" t="str">
        <f>IF(FN_MC!L354="","*",FN_MC!L354)</f>
        <v>*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FERRONORTE</v>
      </c>
      <c r="E354" s="109" t="str">
        <f>IF(FN_MC!T357="","*",FN_MC!T357)</f>
        <v>TMI-TCS</v>
      </c>
      <c r="F354" s="109">
        <f>IF(FN_MC!B357="","*",FN_MC!B357)</f>
        <v>46044</v>
      </c>
      <c r="G354" s="109" t="str">
        <f>IF(FN_MC!D357="","*",FN_MC!D357)</f>
        <v>W50</v>
      </c>
      <c r="H354" s="109" t="str">
        <f>IF(FN_MC!F357="","*",FN_MC!F357)</f>
        <v>MODERNIZAÇÃO - RECOLHIMENTO DE DORMENTE</v>
      </c>
      <c r="I354" s="109" t="str">
        <f>IF(FN_MC!H357="","*",FN_MC!H357)</f>
        <v>TCS</v>
      </c>
      <c r="J354" s="109" t="str">
        <f>IF(FN_MC!I357="","*",FN_MC!I357)</f>
        <v>TCS</v>
      </c>
      <c r="K354" s="109" t="str">
        <f>IF(FN_MC!M357="","*",FN_MC!M357)</f>
        <v>TVI-TJA</v>
      </c>
      <c r="L354" s="328">
        <f>IF(FN_MC!N357="","*",FN_MC!N357)</f>
        <v>239251</v>
      </c>
      <c r="M354" s="110">
        <f>IF(FN_MC!J357="","*",FN_MC!J357)</f>
        <v>74</v>
      </c>
      <c r="N354" s="291">
        <f>IF(FN_MC!K357="","*",FN_MC!K357)</f>
        <v>250</v>
      </c>
      <c r="O354" s="291">
        <f>IF(FN_MC!L357="","*",FN_MC!L357)</f>
        <v>249.5</v>
      </c>
      <c r="P354" s="110"/>
      <c r="Q354" s="127">
        <f>IF(FN_MC!O357="","*",FN_MC!O357)</f>
        <v>0.35416666666666669</v>
      </c>
      <c r="R354" s="127">
        <f>IF(FN_MC!P357="","*",FN_MC!P357)</f>
        <v>0.125</v>
      </c>
      <c r="S354" s="109" t="str">
        <f>IF(FN_MC!Q357="","*",CONCATENATE(FN_MC!Q357," ",FN_MC!R357))</f>
        <v>500 Nº DE DORMENTES</v>
      </c>
      <c r="T354" s="109" t="str">
        <f>IF(FN_MC!V357="","*",FN_MC!V357)</f>
        <v>Augusto</v>
      </c>
      <c r="U354" s="109" t="str">
        <f>IF(FN_MC!W357="","*",FN_MC!W357)</f>
        <v>Recolhimento de dormente</v>
      </c>
      <c r="V354" s="111">
        <f ca="1">_xlfn.XLOOKUP(G354&amp;$V$2,BS_CONTROLE[CHAVE],BS_CONTROLE[Quantidade_11],"-")</f>
        <v>1316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FERRONORTE</v>
      </c>
      <c r="E358" s="109" t="str">
        <f>IF(FN_MC!T361="","*",FN_MC!T361)</f>
        <v>TMI-TCS</v>
      </c>
      <c r="F358" s="109">
        <f>IF(FN_MC!B361="","*",FN_MC!B361)</f>
        <v>46044</v>
      </c>
      <c r="G358" s="109" t="str">
        <f>IF(FN_MC!D361="","*",FN_MC!D361)</f>
        <v>V66</v>
      </c>
      <c r="H358" s="109" t="str">
        <f>IF(FN_MC!F361="","*",FN_MC!F361)</f>
        <v>MODERNIZAÇÃO - REGULAGEM</v>
      </c>
      <c r="I358" s="109" t="str">
        <f>IF(FN_MC!H361="","*",FN_MC!H361)</f>
        <v>TID</v>
      </c>
      <c r="J358" s="109" t="str">
        <f>IF(FN_MC!I361="","*",FN_MC!I361)</f>
        <v>TID</v>
      </c>
      <c r="K358" s="109" t="str">
        <f>IF(FN_MC!M361="","*",FN_MC!M361)</f>
        <v>TCE-TID</v>
      </c>
      <c r="L358" s="328" t="str">
        <f>IF(FN_MC!N361="","*",FN_MC!N361)</f>
        <v>TCE177</v>
      </c>
      <c r="M358" s="110">
        <f>IF(FN_MC!J361="","*",FN_MC!J361)</f>
        <v>74</v>
      </c>
      <c r="N358" s="291">
        <f>IF(FN_MC!K361="","*",FN_MC!K361)</f>
        <v>171.11500000000001</v>
      </c>
      <c r="O358" s="291">
        <f>IF(FN_MC!L361="","*",FN_MC!L361)</f>
        <v>173.5</v>
      </c>
      <c r="P358" s="110"/>
      <c r="Q358" s="127">
        <f>IF(FN_MC!O361="","*",FN_MC!O361)</f>
        <v>0.39583333333333331</v>
      </c>
      <c r="R358" s="127">
        <f>IF(FN_MC!P361="","*",FN_MC!P361)</f>
        <v>0.125</v>
      </c>
      <c r="S358" s="109" t="str">
        <f>IF(FN_MC!Q361="","*",CONCATENATE(FN_MC!Q361," ",FN_MC!R361))</f>
        <v>500 M</v>
      </c>
      <c r="T358" s="109" t="str">
        <f>IF(FN_MC!V361="","*",FN_MC!V361)</f>
        <v>Augusto</v>
      </c>
      <c r="U358" s="109" t="str">
        <f>IF(FN_MC!W361="","*",FN_MC!W361)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28" t="str">
        <f>IF(FN_MC!N364="","*",FN_MC!N364)</f>
        <v>-</v>
      </c>
      <c r="M361" s="110" t="str">
        <f>IF(FN_MC!J364="","*",FN_MC!J364)</f>
        <v>*</v>
      </c>
      <c r="N361" s="291" t="str">
        <f>IF(FN_MC!K364="","*",FN_MC!K364)</f>
        <v>*</v>
      </c>
      <c r="O361" s="291" t="str">
        <f>IF(FN_MC!L364="","*",FN_MC!L364)</f>
        <v>*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28" t="str">
        <f>IF(FN_MC!N366="","*",FN_MC!N366)</f>
        <v>-</v>
      </c>
      <c r="M363" s="110" t="str">
        <f>IF(FN_MC!J366="","*",FN_MC!J366)</f>
        <v>*</v>
      </c>
      <c r="N363" s="291" t="str">
        <f>IF(FN_MC!K366="","*",FN_MC!K366)</f>
        <v>*</v>
      </c>
      <c r="O363" s="291" t="str">
        <f>IF(FN_MC!L366="","*",FN_MC!L366)</f>
        <v>*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28" t="str">
        <f>IF(FN_MC!N367="","*",FN_MC!N367)</f>
        <v>-</v>
      </c>
      <c r="M364" s="110" t="str">
        <f>IF(FN_MC!J367="","*",FN_MC!J367)</f>
        <v>*</v>
      </c>
      <c r="N364" s="291" t="str">
        <f>IF(FN_MC!K367="","*",FN_MC!K367)</f>
        <v>*</v>
      </c>
      <c r="O364" s="291" t="str">
        <f>IF(FN_MC!L367="","*",FN_MC!L367)</f>
        <v>*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*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28" t="str">
        <f>IF(FN_MC!N369="","*",FN_MC!N369)</f>
        <v>-</v>
      </c>
      <c r="M366" s="110" t="str">
        <f>IF(FN_MC!J369="","*",FN_MC!J369)</f>
        <v>*</v>
      </c>
      <c r="N366" s="291" t="str">
        <f>IF(FN_MC!K369="","*",FN_MC!K369)</f>
        <v>*</v>
      </c>
      <c r="O366" s="291" t="str">
        <f>IF(FN_MC!L369="","*",FN_MC!L369)</f>
        <v>*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1757</v>
      </c>
    </row>
  </sheetData>
  <autoFilter ref="A2:Y2999" xr:uid="{D1126E52-FA3F-4EAC-A720-DDE9797BEFF6}">
    <filterColumn colId="5">
      <filters>
        <dateGroupItem year="2026" month="1" day="21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1758</v>
      </c>
      <c r="C2" s="95" t="s">
        <v>1162</v>
      </c>
      <c r="D2" s="95" t="s">
        <v>1164</v>
      </c>
      <c r="E2" s="95" t="s">
        <v>1759</v>
      </c>
      <c r="F2" s="95" t="s">
        <v>1760</v>
      </c>
      <c r="G2" s="95" t="s">
        <v>1761</v>
      </c>
      <c r="H2" s="95" t="s">
        <v>1762</v>
      </c>
      <c r="I2" s="95" t="s">
        <v>1763</v>
      </c>
      <c r="J2" s="95" t="s">
        <v>1764</v>
      </c>
      <c r="K2" s="130" t="s">
        <v>1765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>
        <f>IF(FN_MC!B341="","*",FN_MC!B341)</f>
        <v>46044</v>
      </c>
      <c r="D338" s="120" t="str">
        <f>IF(FN_MC!D341="","*",FN_MC!D341)</f>
        <v>W70</v>
      </c>
      <c r="E338" s="120" t="str">
        <f>IF(FN_MC!H341="","*",FN_MC!H341)</f>
        <v>TIQ</v>
      </c>
      <c r="F338" s="136" t="str">
        <f>IF(FN_MC!M341="","*",FN_MC!M341)</f>
        <v>TAL-TSF</v>
      </c>
      <c r="G338" s="120" t="str">
        <f>IF(FN_MC!I341="","*",FN_MC!I341)</f>
        <v>TGR2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294THE/THE1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294THE</v>
      </c>
      <c r="F348" s="136" t="str">
        <f>IF(FN_MC!M351="","*",FN_MC!M351)</f>
        <v>TRC-THE</v>
      </c>
      <c r="G348" s="120" t="str">
        <f>IF(FN_MC!I351="","*",FN_MC!I351)</f>
        <v>-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>
        <f>IF(FN_MC!B357="","*",FN_MC!B357)</f>
        <v>46044</v>
      </c>
      <c r="D354" s="120" t="str">
        <f>IF(FN_MC!D357="","*",FN_MC!D357)</f>
        <v>W50</v>
      </c>
      <c r="E354" s="120" t="str">
        <f>IF(FN_MC!H357="","*",FN_MC!H357)</f>
        <v>TCS</v>
      </c>
      <c r="F354" s="136" t="str">
        <f>IF(FN_MC!M357="","*",FN_MC!M357)</f>
        <v>TVI-TJA</v>
      </c>
      <c r="G354" s="120" t="str">
        <f>IF(FN_MC!I357="","*",FN_MC!I357)</f>
        <v>TCS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>
        <f>IF(FN_MC!B361="","*",FN_MC!B361)</f>
        <v>46044</v>
      </c>
      <c r="D358" s="120" t="str">
        <f>IF(FN_MC!D361="","*",FN_MC!D361)</f>
        <v>V66</v>
      </c>
      <c r="E358" s="120" t="str">
        <f>IF(FN_MC!H361="","*",FN_MC!H361)</f>
        <v>TID</v>
      </c>
      <c r="F358" s="136" t="str">
        <f>IF(FN_MC!M361="","*",FN_MC!M361)</f>
        <v>TCE-TID</v>
      </c>
      <c r="G358" s="120" t="str">
        <f>IF(FN_MC!I361="","*",FN_MC!I361)</f>
        <v>TID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294THE/THE1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294THE</v>
      </c>
      <c r="F456" s="136" t="str">
        <f>IF(FN_MC!M351="","*",FN_MC!M351)</f>
        <v>TRC-THE</v>
      </c>
      <c r="G456" s="120" t="str">
        <f>IF(FN_MC!I351="","*",FN_MC!I351)</f>
        <v>-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>
        <f>IF(FN_MC!B357="","*",FN_MC!B357)</f>
        <v>46044</v>
      </c>
      <c r="D462" s="120" t="str">
        <f>IF(FN_MC!D357="","*",FN_MC!D357)</f>
        <v>W50</v>
      </c>
      <c r="E462" s="120" t="str">
        <f>IF(FN_MC!H357="","*",FN_MC!H357)</f>
        <v>TCS</v>
      </c>
      <c r="F462" s="136" t="str">
        <f>IF(FN_MC!M357="","*",FN_MC!M357)</f>
        <v>TVI-TJA</v>
      </c>
      <c r="G462" s="120" t="str">
        <f>IF(FN_MC!I357="","*",FN_MC!I357)</f>
        <v>TCS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>
        <f>IF(FN_MC!B361="","*",FN_MC!B361)</f>
        <v>46044</v>
      </c>
      <c r="D466" s="120" t="str">
        <f>IF(FN_MC!D361="","*",FN_MC!D361)</f>
        <v>V66</v>
      </c>
      <c r="E466" s="120" t="str">
        <f>IF(FN_MC!H361="","*",FN_MC!H361)</f>
        <v>TID</v>
      </c>
      <c r="F466" s="136" t="str">
        <f>IF(FN_MC!M361="","*",FN_MC!M361)</f>
        <v>TCE-TID</v>
      </c>
      <c r="G466" s="120" t="str">
        <f>IF(FN_MC!I361="","*",FN_MC!I361)</f>
        <v>TID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1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1766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1767</v>
      </c>
      <c r="C4" s="321" t="s">
        <v>1768</v>
      </c>
      <c r="D4" s="321" t="s">
        <v>1769</v>
      </c>
      <c r="E4" s="321" t="s">
        <v>1770</v>
      </c>
      <c r="F4" s="321" t="s">
        <v>545</v>
      </c>
      <c r="G4" s="321" t="s">
        <v>1771</v>
      </c>
      <c r="H4" s="187"/>
    </row>
    <row r="5" spans="1:8" ht="43.5">
      <c r="A5" s="187"/>
      <c r="B5" s="322" t="s">
        <v>1772</v>
      </c>
      <c r="C5" s="322">
        <v>309525</v>
      </c>
      <c r="D5" s="322" t="s">
        <v>1773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1774</v>
      </c>
      <c r="C6" s="322">
        <v>256875</v>
      </c>
      <c r="D6" s="322" t="s">
        <v>1775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1776</v>
      </c>
      <c r="C7" s="322">
        <v>257278</v>
      </c>
      <c r="D7" s="322" t="s">
        <v>1777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1778</v>
      </c>
      <c r="C8" s="322">
        <v>261794</v>
      </c>
      <c r="D8" s="322" t="s">
        <v>1779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1780</v>
      </c>
      <c r="C9" s="322">
        <v>257033</v>
      </c>
      <c r="D9" s="322" t="s">
        <v>1781</v>
      </c>
      <c r="E9" s="322" t="s">
        <v>240</v>
      </c>
      <c r="F9" s="322" t="s">
        <v>732</v>
      </c>
      <c r="G9" s="322" t="s">
        <v>1782</v>
      </c>
      <c r="H9" s="187"/>
    </row>
    <row r="10" spans="1:8" ht="43.5">
      <c r="A10" s="187"/>
      <c r="B10" s="322" t="s">
        <v>1783</v>
      </c>
      <c r="C10" s="322">
        <v>396578</v>
      </c>
      <c r="D10" s="322" t="s">
        <v>1784</v>
      </c>
      <c r="E10" s="322" t="s">
        <v>240</v>
      </c>
      <c r="F10" s="322" t="s">
        <v>732</v>
      </c>
      <c r="G10" s="322" t="s">
        <v>1782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1785</v>
      </c>
      <c r="D5" s="401"/>
      <c r="E5" s="401"/>
      <c r="F5" s="401"/>
      <c r="G5" s="401"/>
      <c r="H5" s="401"/>
      <c r="I5" s="401"/>
      <c r="J5" s="402"/>
      <c r="K5" s="403" t="s">
        <v>1786</v>
      </c>
      <c r="L5" s="404"/>
      <c r="M5" s="404"/>
      <c r="N5" s="404"/>
      <c r="O5" s="405" t="s">
        <v>1787</v>
      </c>
      <c r="P5" s="406"/>
      <c r="Q5" s="407"/>
    </row>
    <row r="6" spans="1:17" s="93" customFormat="1" ht="15.75" customHeight="1">
      <c r="A6" s="87" t="s">
        <v>1755</v>
      </c>
      <c r="B6" s="94" t="s">
        <v>1754</v>
      </c>
      <c r="C6" s="95" t="s">
        <v>1177</v>
      </c>
      <c r="D6" s="96" t="s">
        <v>1178</v>
      </c>
      <c r="E6" s="95" t="s">
        <v>1788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1789</v>
      </c>
      <c r="M6" s="138" t="s">
        <v>30</v>
      </c>
      <c r="N6" s="139" t="s">
        <v>1172</v>
      </c>
      <c r="O6" s="241" t="s">
        <v>1215</v>
      </c>
      <c r="P6" s="152"/>
      <c r="Q6" s="188" t="s">
        <v>1790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1</v>
      </c>
      <c r="P405" s="90"/>
      <c r="Q405" s="144" t="str">
        <f>IF($A$2=1,IF(FN_MC!BJ318="","*",FN_MC!BJ318),IF(FN_MC!BK318="","*",FN_MC!BK318))</f>
        <v>Licença as 08:54h - em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1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1</v>
      </c>
      <c r="P410" s="90"/>
      <c r="Q410" s="144" t="str">
        <f>IF($A$2=1,IF(FN_MC!BJ323="","*",FN_MC!BJ323),IF(FN_MC!BK323="","*",FN_MC!BK323))</f>
        <v>Pronto as 09:40h - aguardando D71 para verificar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1</v>
      </c>
      <c r="P416" s="90"/>
      <c r="Q416" s="144" t="str">
        <f>IF($A$2=1,IF(FN_MC!BJ330="","*",FN_MC!BJ330),IF(FN_MC!BK330="","*",FN_MC!BK330))</f>
        <v>MC1 as 08:48 - abastecendo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1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1</v>
      </c>
      <c r="P418" s="90"/>
      <c r="Q418" s="144" t="str">
        <f>IF($A$2=1,IF(FN_MC!BJ332="","*",FN_MC!BJ332),IF(FN_MC!BK332="","*",FN_MC!BK332))</f>
        <v>MC1 as 08:02h - aguardando E14 livrar SB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1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*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W70</v>
      </c>
      <c r="F427" s="99" t="str">
        <f>IF(FN_MC!H341="","*",FN_MC!H341)</f>
        <v>TIQ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TIQ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*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>
        <f>IF(FN_MC!B348="","*",FN_MC!B348)</f>
        <v>46044</v>
      </c>
      <c r="B434" s="98" t="str">
        <f>IF(FN_MC!X348="","*",FN_MC!X348)</f>
        <v>*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294THE/THE1</v>
      </c>
      <c r="G434" s="99" t="str">
        <f>IF(FN_MC!M348="","*",FN_MC!M348)</f>
        <v>TRC-THE</v>
      </c>
      <c r="H434" s="149">
        <f>IF(FN_MC!K348="","*",FN_MC!K348)</f>
        <v>300.89999999999998</v>
      </c>
      <c r="I434" s="131">
        <f>IF(FN_MC!O348="","*",FN_MC!O348)</f>
        <v>0.375</v>
      </c>
      <c r="J434" s="131">
        <f>IF(FN_MC!P348="","*",FN_MC!P348)</f>
        <v>8.3333333333333329E-2</v>
      </c>
      <c r="K434" s="140" t="str">
        <f>IF(FN_MC!AK348="","*",FN_MC!AK348)</f>
        <v>294THE/THE1</v>
      </c>
      <c r="L434" s="140" t="str">
        <f>IF(FN_MC!AM348="","*",FN_MC!AM348)</f>
        <v>TRC-THE</v>
      </c>
      <c r="M434" s="140">
        <f>IF(FN_MC!AP348="","*",FN_MC!AP348)</f>
        <v>300.89999999999998</v>
      </c>
      <c r="N434" s="140" t="str">
        <f>IF(FN_MC!AM348="","*",FN_MC!AM348)</f>
        <v>TRC-THE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*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294THE</v>
      </c>
      <c r="G437" s="99" t="str">
        <f>IF(FN_MC!M351="","*",FN_MC!M351)</f>
        <v>TRC-THE</v>
      </c>
      <c r="H437" s="149">
        <f>IF(FN_MC!K351="","*",FN_MC!K351)</f>
        <v>294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294THE</v>
      </c>
      <c r="L437" s="140" t="str">
        <f>IF(FN_MC!AM351="","*",FN_MC!AM351)</f>
        <v>TRC-THE</v>
      </c>
      <c r="M437" s="140">
        <f>IF(FN_MC!AP351="","*",FN_MC!AP351)</f>
        <v>294</v>
      </c>
      <c r="N437" s="140" t="str">
        <f>IF(FN_MC!AM351="","*",FN_MC!AM351)</f>
        <v>TRC-THE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IF(FN_MC!B357="","*",FN_MC!B357)</f>
        <v>46044</v>
      </c>
      <c r="B443" s="98" t="str">
        <f>IF(FN_MC!X357="","*",FN_MC!X357)</f>
        <v>*</v>
      </c>
      <c r="C443" s="99" t="str">
        <f>IF(FN_MC!S357="","*",FN_MC!S357)</f>
        <v>FERRONORTE</v>
      </c>
      <c r="D443" s="99" t="str">
        <f>IF(FN_MC!T357="","*",FN_MC!T357)</f>
        <v>TMI-TCS</v>
      </c>
      <c r="E443" s="99" t="str">
        <f>IF(FN_MC!D357="","*",FN_MC!D357)</f>
        <v>W50</v>
      </c>
      <c r="F443" s="99" t="str">
        <f>IF(FN_MC!H357="","*",FN_MC!H357)</f>
        <v>TCS</v>
      </c>
      <c r="G443" s="99" t="str">
        <f>IF(FN_MC!M357="","*",FN_MC!M357)</f>
        <v>TVI-TJA</v>
      </c>
      <c r="H443" s="149">
        <f>IF(FN_MC!K357="","*",FN_MC!K357)</f>
        <v>250</v>
      </c>
      <c r="I443" s="131">
        <f>IF(FN_MC!O357="","*",FN_MC!O357)</f>
        <v>0.35416666666666669</v>
      </c>
      <c r="J443" s="131">
        <f>IF(FN_MC!P357="","*",FN_MC!P357)</f>
        <v>0.125</v>
      </c>
      <c r="K443" s="140" t="str">
        <f>IF(FN_MC!AK357="","*",FN_MC!AK357)</f>
        <v>TCS</v>
      </c>
      <c r="L443" s="140" t="str">
        <f>IF(FN_MC!AM357="","*",FN_MC!AM357)</f>
        <v>TVI-TJA</v>
      </c>
      <c r="M443" s="140">
        <f>IF(FN_MC!AP357="","*",FN_MC!AP357)</f>
        <v>250</v>
      </c>
      <c r="N443" s="140" t="str">
        <f>IF(FN_MC!AM357="","*",FN_MC!AM357)</f>
        <v>TVI-TJA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>
        <f>IF(FN_MC!B361="","*",FN_MC!B361)</f>
        <v>46044</v>
      </c>
      <c r="B447" s="98" t="str">
        <f>IF(FN_MC!X361="","*",FN_MC!X361)</f>
        <v>*</v>
      </c>
      <c r="C447" s="99" t="str">
        <f>IF(FN_MC!S361="","*",FN_MC!S361)</f>
        <v>FERRONORTE</v>
      </c>
      <c r="D447" s="99" t="str">
        <f>IF(FN_MC!T361="","*",FN_MC!T361)</f>
        <v>TMI-TCS</v>
      </c>
      <c r="E447" s="99" t="str">
        <f>IF(FN_MC!D361="","*",FN_MC!D361)</f>
        <v>V66</v>
      </c>
      <c r="F447" s="99" t="str">
        <f>IF(FN_MC!H361="","*",FN_MC!H361)</f>
        <v>TID</v>
      </c>
      <c r="G447" s="99" t="str">
        <f>IF(FN_MC!M361="","*",FN_MC!M361)</f>
        <v>TCE-TID</v>
      </c>
      <c r="H447" s="149">
        <f>IF(FN_MC!K361="","*",FN_MC!K361)</f>
        <v>171.11500000000001</v>
      </c>
      <c r="I447" s="131">
        <f>IF(FN_MC!O361="","*",FN_MC!O361)</f>
        <v>0.39583333333333331</v>
      </c>
      <c r="J447" s="131">
        <f>IF(FN_MC!P361="","*",FN_MC!P361)</f>
        <v>0.125</v>
      </c>
      <c r="K447" s="140" t="str">
        <f>IF(FN_MC!AK361="","*",FN_MC!AK361)</f>
        <v>TID</v>
      </c>
      <c r="L447" s="140" t="str">
        <f>IF(FN_MC!AM361="","*",FN_MC!AM361)</f>
        <v>TCE-TID</v>
      </c>
      <c r="M447" s="140">
        <f>IF(FN_MC!AP361="","*",FN_MC!AP361)</f>
        <v>171.11500000000001</v>
      </c>
      <c r="N447" s="140" t="str">
        <f>IF(FN_MC!AM361="","*",FN_MC!AM361)</f>
        <v>TCE-TID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1790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Yago Massuchin Cerbaro</cp:lastModifiedBy>
  <cp:revision/>
  <dcterms:created xsi:type="dcterms:W3CDTF">2025-05-05T12:15:43Z</dcterms:created>
  <dcterms:modified xsi:type="dcterms:W3CDTF">2026-01-21T16:38:10Z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