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907" documentId="8_{B6337239-1A00-434D-AAD0-422EA1FEB5AE}" xr6:coauthVersionLast="47" xr6:coauthVersionMax="47" xr10:uidLastSave="{D83052B2-92DD-48CC-AA9F-32DA1AA4CB9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9" i="1" l="1" a="1"/>
  <c r="N159" i="1"/>
  <c r="M174" i="1" a="1"/>
  <c r="M174" i="1"/>
  <c r="N174" i="1" a="1"/>
  <c r="N174" i="1"/>
  <c r="M175" i="1" a="1"/>
  <c r="M175" i="1"/>
  <c r="N175" i="1" a="1"/>
  <c r="N175" i="1"/>
  <c r="M176" i="1" a="1"/>
  <c r="M176" i="1"/>
  <c r="N176" i="1" a="1"/>
  <c r="N176" i="1"/>
  <c r="S174" i="1" a="1"/>
  <c r="S174" i="1"/>
  <c r="T174" i="1" a="1"/>
  <c r="T174" i="1"/>
  <c r="S175" i="1" a="1"/>
  <c r="S175" i="1"/>
  <c r="T175" i="1" a="1"/>
  <c r="T175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BT156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K169" i="16"/>
  <c r="L169" i="16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K171" i="16"/>
  <c r="L171" i="16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K172" i="16"/>
  <c r="L172" i="16"/>
  <c r="R174" i="1"/>
  <c r="D172" i="16"/>
  <c r="E172" i="16"/>
  <c r="AI174" i="1"/>
  <c r="BB174" i="1" s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K173" i="16"/>
  <c r="L173" i="16"/>
  <c r="R175" i="1"/>
  <c r="D173" i="16"/>
  <c r="E173" i="16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K174" i="16"/>
  <c r="L174" i="16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4" i="1" l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<sst xmlns="http://schemas.openxmlformats.org/spreadsheetml/2006/main" count="6046" uniqueCount="1639">
  <si>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</si>
  <si>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</si>
  <si>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</si>
  <si>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</si>
  <si>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</si>
  <si>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</si>
  <si>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</si>
  <si>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</si>
  <si>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</si>
  <si>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</si>
  <si>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</si>
  <si>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</si>
  <si>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</si>
  <si>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</si>
  <si>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</si>
  <si>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</si>
  <si>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</si>
  <si>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</si>
  <si>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</si>
  <si>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</si>
  <si>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</si>
  <si>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</si>
  <si>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</si>
  <si>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</si>
  <si>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</si>
  <si>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</si>
  <si>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</si>
  <si>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</si>
  <si>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</si>
  <si>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</si>
  <si>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</si>
  <si>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</si>
  <si>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</si>
  <si>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</si>
  <si>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</si>
  <si>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</si>
  <si>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</si>
  <si>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</si>
  <si>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</si>
  <si>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</si>
  <si>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</si>
  <si>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</si>
  <si>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</si>
  <si>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</si>
  <si>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</si>
  <si>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</si>
  <si>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</si>
  <si>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</si>
  <si>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</si>
  <si>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</si>
  <si>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</si>
  <si>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</si>
  <si>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</si>
  <si>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</si>
  <si>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</si>
  <si>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</si>
  <si>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</si>
  <si>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</si>
  <si>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</si>
  <si>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</si>
  <si>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</si>
  <si>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</si>
  <si>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</si>
  <si>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</si>
  <si>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</si>
  <si>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</si>
  <si>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</si>
  <si>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</si>
  <si>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</si>
  <si>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</si>
  <si>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</si>
  <si>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</si>
  <si>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</si>
  <si>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</si>
  <si>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</si>
  <si>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</si>
  <si>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</si>
  <si>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</si>
  <si>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</si>
  <si>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</si>
  <si>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</si>
  <si>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</si>
  <si>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</si>
  <si>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</si>
  <si>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</si>
  <si>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</si>
  <si>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</si>
  <si>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</si>
  <si>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</si>
  <si>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</si>
  <si>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</si>
  <si>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</si>
  <si>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</si>
  <si>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</si>
  <si>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</si>
  <si>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</si>
  <si>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</si>
  <si>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</si>
  <si>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</si>
  <si>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</si>
  <si>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</si>
  <si>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</si>
  <si>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</si>
  <si>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</si>
  <si>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</si>
  <si>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</si>
  <si>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</si>
  <si>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</si>
  <si>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</si>
  <si>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</si>
  <si>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</si>
  <si>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</si>
  <si>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</si>
  <si>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</si>
  <si>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</si>
  <si>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</si>
  <si>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</si>
  <si>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</si>
  <si>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</si>
  <si>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</si>
  <si>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</si>
  <si>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</si>
  <si>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</si>
  <si>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</si>
  <si>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</si>
  <si>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</si>
  <si>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</si>
  <si>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</si>
  <si>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</si>
  <si>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</si>
  <si>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</si>
  <si>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</si>
  <si>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</si>
  <si>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</si>
  <si>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</si>
  <si>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</si>
  <si>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</si>
  <si>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</si>
  <si>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</si>
  <si>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</si>
  <si>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</si>
  <si>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</si>
  <si>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</si>
  <si>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</si>
  <si>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</si>
  <si>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</si>
  <si>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</si>
  <si>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</si>
  <si>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</si>
  <si>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</si>
  <si>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</si>
  <si>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</si>
  <si>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</si>
  <si>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</si>
  <si>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</si>
  <si>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</si>
  <si>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</si>
  <si>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</si>
  <si>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</si>
  <si>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</si>
  <si>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</si>
  <si>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</si>
  <si>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</si>
  <si>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</si>
  <si>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</si>
  <si>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</si>
  <si>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</si>
  <si>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</si>
  <si>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</si>
  <si>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</si>
  <si>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</si>
  <si>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</si>
  <si>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</si>
  <si>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</si>
  <si>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</si>
  <si>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</si>
  <si>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</si>
  <si>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</si>
  <si>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</si>
  <si>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</si>
  <si>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</si>
  <si>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</si>
  <si>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</si>
  <si>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</si>
  <si>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</si>
  <si>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</si>
  <si>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</si>
  <si>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</si>
  <si>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</si>
  <si>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</si>
  <si>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</si>
  <si>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</si>
  <si>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</si>
  <si>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</si>
  <si>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</si>
  <si>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</si>
  <si>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</si>
  <si>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</si>
  <si>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</si>
  <si>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</si>
  <si>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</si>
  <si>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</si>
  <si>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</si>
  <si>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</si>
  <si>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</si>
  <si>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</si>
  <si>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</si>
  <si>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</si>
  <si>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</si>
  <si>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</si>
  <si>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</si>
  <si>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</si>
  <si>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</si>
  <si>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</si>
  <si>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</si>
  <si>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</si>
  <si>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</si>
  <si>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</si>
  <si>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</si>
  <si>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</si>
  <si>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</si>
  <si>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</si>
  <si>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</si>
  <si>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</si>
  <si>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</si>
  <si>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</si>
  <si>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</si>
  <si>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</si>
  <si>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</si>
  <si>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</si>
  <si>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</si>
  <si>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</si>
  <si>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</si>
  <si>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</si>
  <si>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</si>
  <si>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</si>
  <si>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</si>
  <si>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</si>
  <si>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</si>
  <si>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</si>
  <si>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</si>
  <si>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</si>
  <si>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</si>
  <si>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</si>
  <si>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</si>
  <si>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</si>
  <si>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</si>
  <si>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</si>
  <si>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</si>
  <si>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</si>
  <si>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</si>
  <si>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</si>
  <si>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</si>
  <si>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</si>
  <si>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</si>
  <si>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</si>
  <si>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</si>
  <si>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</si>
  <si>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</si>
  <si>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</si>
  <si>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</si>
  <si>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</si>
  <si>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</si>
  <si>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</si>
  <si>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</si>
  <si>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</si>
  <si>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</si>
  <si>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</si>
  <si>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</si>
  <si>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</si>
  <si>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</si>
  <si>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</si>
  <si>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</si>
  <si>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</si>
  <si>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</si>
  <si>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</si>
  <si>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</si>
  <si>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</si>
  <si>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</si>
  <si>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</si>
  <si>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</si>
  <si>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</si>
  <si>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</si>
  <si>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</si>
  <si>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</si>
  <si>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</si>
  <si>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</si>
  <si>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</si>
  <si>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</si>
  <si>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</si>
  <si>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</si>
  <si>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</si>
  <si>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</si>
  <si>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</si>
  <si>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</si>
  <si>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</si>
  <si>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</si>
  <si>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</si>
  <si>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</si>
  <si>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</si>
  <si>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</si>
  <si>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</si>
  <si>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</si>
  <si>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</si>
  <si>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</si>
  <si>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</si>
  <si>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</si>
  <si>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</si>
  <si>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</si>
  <si>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</si>
  <si>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</si>
  <si>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</si>
  <si>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</si>
  <si>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</si>
  <si>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</si>
  <si>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</si>
  <si>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</si>
  <si>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</si>
  <si>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</si>
  <si>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</si>
  <si>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</si>
  <si>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</si>
  <si>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</si>
  <si>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</si>
  <si>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</si>
  <si>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</si>
  <si>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</si>
  <si>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</si>
  <si>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</si>
  <si>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</si>
  <si>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</si>
  <si>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</si>
  <si>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</si>
  <si>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</si>
  <si>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</si>
  <si>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</si>
  <si>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</si>
  <si>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</si>
  <si>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</si>
  <si>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</si>
  <si>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</si>
  <si>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</si>
  <si>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</si>
  <si>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</si>
  <si>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</si>
  <si>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</si>
  <si>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</si>
  <si>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</si>
  <si>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</si>
  <si>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</si>
  <si>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</si>
  <si>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</si>
  <si>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</si>
  <si>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</si>
  <si>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</si>
  <si>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</si>
  <si>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</si>
  <si>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</si>
  <si>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</si>
  <si>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</si>
  <si>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</si>
  <si>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</si>
  <si>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</si>
  <si>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</si>
  <si>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</si>
  <si>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</si>
  <si>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</si>
  <si>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</si>
  <si>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</si>
  <si>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</si>
  <si>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</si>
  <si>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</si>
  <si>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</si>
  <si>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</si>
  <si>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</si>
  <si>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</si>
  <si>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</si>
  <si>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</si>
  <si>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</si>
  <si>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</si>
  <si>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</si>
  <si>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</si>
  <si>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</si>
  <si>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</si>
  <si>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</si>
  <si>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</si>
  <si>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</si>
  <si>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</si>
  <si>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</si>
  <si>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</si>
  <si>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</si>
  <si>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</si>
  <si>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</si>
  <si>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</si>
  <si>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</si>
  <si>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</si>
  <si>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</si>
  <si>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</si>
  <si>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</si>
  <si>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</si>
  <si>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</si>
  <si>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</si>
  <si>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</si>
  <si>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</si>
  <si>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</si>
  <si>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</si>
  <si>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</si>
  <si>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</si>
  <si>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</si>
  <si>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</si>
  <si>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</si>
  <si>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</si>
  <si>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</si>
  <si>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</si>
  <si>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</si>
  <si>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</si>
  <si>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</si>
  <si>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</si>
  <si>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</si>
  <si>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</si>
  <si>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</si>
  <si>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</si>
  <si>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</si>
  <si>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</si>
  <si>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</si>
  <si>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</si>
  <si>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</si>
  <si>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</si>
  <si>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</si>
  <si>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</si>
  <si>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</si>
  <si>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</si>
  <si>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</si>
  <si>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</si>
  <si>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</si>
  <si>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</si>
  <si>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</si>
  <si>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</si>
  <si>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</si>
  <si>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</si>
  <si>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</si>
  <si>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</si>
  <si>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</si>
  <si>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</si>
  <si>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</si>
  <si>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</si>
  <si>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</si>
  <si>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</si>
  <si>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</si>
  <si>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</si>
  <si>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</si>
  <si>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</si>
  <si>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</si>
  <si>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</si>
  <si>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</si>
  <si>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</si>
  <si>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</si>
  <si>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</si>
  <si>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</si>
  <si>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</si>
  <si>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</si>
  <si>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</si>
  <si>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</si>
  <si>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</si>
  <si>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</si>
  <si>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</si>
  <si>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</si>
  <si>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</si>
  <si>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</si>
  <si>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</si>
  <si>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</si>
  <si>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</si>
  <si>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</si>
  <si>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</si>
  <si>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</si>
  <si>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</si>
  <si>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</si>
  <si>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</si>
  <si>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</si>
  <si>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</si>
  <si>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</si>
  <si>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</si>
  <si>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</si>
  <si>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</si>
  <si>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</si>
  <si>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</si>
  <si>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</si>
  <si>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</si>
  <si>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</si>
  <si>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</si>
  <si>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</si>
  <si>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</si>
  <si>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</si>
  <si>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</si>
  <si>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</si>
  <si>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</si>
  <si>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</si>
  <si>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</si>
  <si>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</si>
  <si>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</si>
  <si>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</si>
  <si>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</si>
  <si>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</si>
  <si>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</si>
  <si>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</si>
  <si>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</si>
  <si>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</si>
  <si>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</si>
  <si>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</si>
  <si>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</si>
  <si>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</si>
  <si>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</si>
  <si>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</si>
  <si>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</si>
  <si>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</si>
  <si>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</si>
  <si>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</si>
  <si>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</si>
  <si>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</si>
  <si>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</si>
  <si>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</si>
  <si>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</si>
  <si>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</si>
  <si>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</si>
  <si>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</si>
  <si>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</si>
  <si>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</si>
  <si>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</si>
  <si>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</si>
  <si>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</si>
  <si>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</si>
  <si>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</si>
  <si>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</si>
  <si>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</si>
  <si>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</si>
  <si>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</si>
  <si>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</si>
  <si>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</si>
  <si>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</si>
  <si>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</si>
  <si>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</si>
  <si>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</si>
  <si>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</si>
  <si>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</si>
  <si>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</si>
  <si>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</si>
  <si>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</si>
  <si>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</si>
  <si>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</si>
  <si>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</si>
  <si>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</si>
  <si>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</si>
  <si>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</si>
  <si>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</si>
  <si>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</si>
  <si>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</si>
  <si>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</si>
  <si>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</si>
  <si>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</si>
  <si>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</si>
  <si>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</si>
  <si>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</si>
  <si>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</si>
  <si>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</si>
  <si>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</si>
  <si>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</si>
  <si>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</si>
  <si>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</si>
  <si>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</si>
  <si>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</si>
  <si>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</si>
  <si>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</si>
  <si>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</si>
  <si>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</si>
  <si>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</si>
  <si>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</si>
  <si>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</si>
  <si>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</si>
  <si>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</si>
  <si>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</si>
  <si>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</si>
  <si>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</si>
  <si>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</si>
  <si>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</si>
  <si>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</si>
  <si>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</si>
  <si>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</si>
  <si>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</si>
  <si>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</si>
  <si>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</si>
  <si>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</si>
  <si>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</si>
  <si>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</si>
  <si>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</si>
  <si>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</si>
  <si>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</si>
  <si>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</si>
  <si>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</si>
  <si>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</si>
  <si>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</si>
  <si>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</si>
  <si>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</si>
  <si>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</si>
  <si>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</si>
  <si>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</si>
  <si>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</si>
  <si>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</si>
  <si>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</si>
  <si>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</si>
  <si>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</si>
  <si>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</si>
  <si>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</si>
  <si>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</si>
  <si>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</si>
  <si>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</si>
  <si>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</si>
  <si>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</si>
  <si>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</si>
  <si>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</si>
  <si>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</si>
  <si>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</si>
  <si>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</si>
  <si>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</si>
  <si>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</si>
  <si>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</si>
  <si>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</si>
  <si>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</si>
  <si>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</si>
  <si>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</si>
  <si>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</si>
  <si>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</si>
  <si>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</si>
  <si>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</si>
  <si>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</si>
  <si>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</si>
  <si>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</si>
  <si>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</si>
  <si>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</si>
  <si>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</si>
  <si>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</si>
  <si>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</si>
  <si>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</si>
  <si>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</si>
  <si>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</si>
  <si>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</si>
  <si>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</si>
  <si>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</si>
  <si>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</si>
  <si>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</si>
  <si>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</si>
  <si>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</si>
  <si>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</si>
  <si>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</si>
  <si>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</si>
  <si>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</si>
  <si>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</si>
  <si>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</si>
  <si>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</si>
  <si>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</si>
  <si>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</si>
  <si>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</si>
  <si>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</si>
  <si>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</si>
  <si>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</si>
  <si>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</si>
  <si>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</si>
  <si>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</si>
  <si>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</si>
  <si>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</si>
  <si>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</si>
  <si>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</si>
  <si>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</si>
  <si>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</si>
  <si>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</si>
  <si>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</si>
  <si>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</si>
  <si>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</si>
  <si>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</si>
  <si>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</si>
  <si>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</si>
  <si>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</si>
  <si>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</si>
  <si>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</si>
  <si>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</si>
  <si>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</si>
  <si>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</si>
  <si>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</si>
  <si>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</si>
  <si>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</si>
  <si>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</si>
  <si>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</si>
  <si>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</si>
  <si>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</si>
  <si>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</si>
  <si>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</si>
  <si>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</si>
  <si>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</si>
  <si>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</si>
  <si>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</si>
  <si>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</si>
  <si>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</si>
  <si>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</si>
  <si>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</si>
  <si>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</si>
  <si>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</si>
  <si>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</si>
  <si>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</si>
  <si>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</si>
  <si>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</si>
  <si>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</si>
  <si>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</si>
  <si>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</si>
  <si>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</si>
  <si>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</si>
  <si>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</si>
  <si>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</si>
  <si>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</si>
  <si>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</si>
  <si>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</si>
  <si>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</si>
  <si>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</si>
  <si>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</si>
  <si>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</si>
  <si>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</si>
  <si>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</si>
  <si>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</si>
  <si>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</si>
  <si>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</si>
  <si>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</si>
  <si>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</si>
  <si>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</si>
  <si>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</si>
  <si>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</si>
  <si>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</si>
  <si>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</si>
  <si>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</si>
  <si>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</si>
  <si>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</si>
  <si>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</si>
  <si>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</si>
  <si>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</si>
  <si>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</si>
  <si>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</si>
  <si>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</si>
  <si>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</si>
  <si>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</si>
  <si>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</si>
  <si>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</si>
  <si>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</si>
  <si>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</si>
  <si>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</si>
  <si>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</si>
  <si>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</si>
  <si>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</si>
  <si>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</si>
  <si>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</si>
  <si>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</si>
  <si>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</si>
  <si>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</si>
  <si>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</si>
  <si>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</si>
  <si>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</si>
  <si>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</si>
  <si>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</si>
  <si>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</si>
  <si>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</si>
  <si>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</si>
  <si>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</si>
  <si>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</si>
  <si>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</si>
  <si>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</si>
  <si>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</si>
  <si>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</si>
  <si>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</si>
  <si>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</si>
  <si>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</si>
  <si>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</si>
  <si>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</si>
  <si>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</si>
  <si>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</si>
  <si>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</si>
  <si>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</si>
  <si>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</si>
  <si>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</si>
  <si>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</si>
  <si>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</si>
  <si>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</si>
  <si>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</si>
  <si>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</si>
  <si>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</si>
  <si>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</si>
  <si>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</si>
  <si>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</si>
  <si>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</si>
  <si>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</si>
  <si>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</si>
  <si>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</si>
  <si>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</si>
  <si>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</si>
  <si>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</si>
  <si>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</si>
  <si>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</si>
  <si>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</si>
  <si>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</si>
  <si>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</si>
  <si>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</si>
  <si>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</si>
  <si>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</si>
  <si>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</si>
  <si>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</si>
  <si>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</si>
  <si>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</si>
  <si>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</si>
  <si>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</si>
  <si>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</si>
  <si>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</si>
  <si>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</si>
  <si>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</si>
  <si>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</si>
  <si>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</si>
  <si>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</si>
  <si>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</si>
  <si>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</si>
  <si>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</si>
  <si>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</si>
  <si>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</si>
  <si>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</si>
  <si>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</si>
  <si>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</si>
  <si>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</si>
  <si>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</si>
  <si>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</si>
  <si>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</si>
  <si>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</si>
  <si>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</si>
  <si>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</si>
  <si>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</si>
  <si>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</si>
  <si>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</si>
  <si>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</si>
  <si>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</si>
  <si>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</si>
  <si>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</si>
  <si>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</si>
  <si>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</si>
  <si>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</si>
  <si>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</si>
  <si>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</si>
  <si>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</si>
  <si>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</si>
  <si>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</si>
  <si>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</si>
  <si>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</si>
  <si>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</si>
  <si>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</si>
  <si>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</si>
  <si>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</si>
  <si>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</si>
  <si>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</si>
  <si>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</si>
  <si>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</si>
  <si>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</si>
  <si>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</si>
  <si>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</si>
  <si>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</si>
  <si>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</si>
  <si>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</si>
  <si>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</si>
  <si>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</si>
  <si>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</si>
  <si>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</si>
  <si>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</si>
  <si>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</si>
  <si>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</si>
  <si>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</si>
  <si>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</si>
  <si>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</si>
  <si>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</si>
  <si>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</si>
  <si>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</si>
  <si>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</si>
  <si>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</si>
  <si>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</si>
  <si>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</si>
  <si>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</si>
  <si>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</si>
  <si>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</si>
  <si>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</si>
  <si>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</si>
  <si>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</si>
  <si>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</si>
  <si>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</si>
  <si>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</si>
  <si>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</si>
  <si>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</si>
  <si>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</si>
  <si>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</si>
  <si>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</si>
  <si>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</si>
  <si>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</si>
  <si>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</si>
  <si>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</si>
  <si>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</si>
  <si>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</si>
  <si>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</si>
  <si>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</si>
  <si>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</si>
  <si>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</si>
  <si>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</si>
  <si>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</si>
  <si>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</si>
  <si>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</si>
  <si>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</si>
  <si>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</si>
  <si>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</si>
  <si>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</si>
  <si>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</si>
  <si>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</si>
  <si>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</si>
  <si>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</si>
  <si>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</si>
  <si>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</si>
  <si>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</si>
  <si>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</si>
  <si>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</si>
  <si>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</si>
  <si>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</si>
  <si>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</si>
  <si>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</si>
  <si>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</si>
  <si>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</si>
  <si>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</si>
  <si>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</si>
  <si>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</si>
  <si>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</si>
  <si>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</si>
  <si>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</si>
  <si>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</si>
  <si>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</si>
  <si>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</si>
  <si>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</si>
  <si>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</si>
  <si>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</si>
  <si>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</si>
  <si>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</si>
  <si>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</si>
  <si>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</si>
  <si>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</si>
  <si>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</si>
  <si>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</si>
  <si>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</si>
  <si>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</si>
  <si>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</si>
  <si>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</si>
  <si>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</si>
  <si>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</si>
  <si>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</si>
  <si>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</si>
  <si>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</si>
  <si>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</si>
  <si>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</si>
  <si>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</si>
  <si>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</si>
  <si>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</si>
  <si>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</si>
  <si>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</si>
  <si>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</si>
  <si>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</si>
  <si>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</si>
  <si>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</si>
  <si>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</si>
  <si>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</si>
  <si>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</si>
  <si>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</si>
  <si>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</si>
  <si>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</si>
  <si>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</si>
  <si>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</si>
  <si>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</si>
  <si>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</si>
  <si>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</si>
  <si>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</si>
  <si>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</si>
  <si>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</si>
  <si>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</si>
  <si>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</si>
  <si>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</si>
  <si>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</si>
  <si>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</si>
  <si>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</si>
  <si>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</si>
  <si>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</si>
  <si>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</si>
  <si>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</si>
  <si>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</si>
  <si>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</si>
  <si>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</si>
  <si>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</si>
  <si>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</si>
  <si>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</si>
  <si>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</si>
  <si>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</si>
  <si>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</si>
  <si>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</si>
  <si>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</si>
  <si>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</si>
  <si>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</si>
  <si>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</si>
  <si>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</si>
  <si>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</si>
  <si>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</si>
  <si>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</si>
  <si>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</si>
  <si>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</si>
  <si>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</si>
  <si>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</si>
  <si>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</si>
  <si>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</si>
  <si>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</si>
  <si>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</si>
  <si>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</si>
  <si>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</si>
  <si>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</si>
  <si>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</si>
  <si>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</si>
  <si>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</si>
  <si>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</si>
  <si>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</si>
  <si>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</si>
  <si>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</si>
  <si>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</si>
  <si>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</si>
  <si>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</si>
  <si>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</si>
  <si>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</si>
  <si>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</si>
  <si>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</si>
  <si>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</si>
  <si>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</si>
  <si>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</si>
  <si>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</si>
  <si>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</si>
  <si>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</si>
  <si>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</si>
  <si>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</si>
  <si>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</si>
  <si>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</si>
  <si>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</si>
  <si>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</si>
  <si>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</si>
  <si>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</si>
  <si>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</si>
  <si>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</si>
  <si>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</si>
  <si>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</si>
  <si>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</si>
  <si>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</si>
  <si>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</si>
  <si>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</si>
  <si>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</si>
  <si>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</si>
  <si>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</si>
  <si>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</si>
  <si>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</si>
  <si>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</si>
  <si>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</si>
  <si>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</si>
  <si>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</si>
  <si>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</si>
  <si>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</si>
  <si>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</si>
  <si>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</si>
  <si>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</si>
  <si>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</si>
  <si>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</si>
  <si>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</si>
  <si>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</si>
  <si>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</si>
  <si>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</si>
  <si>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</si>
  <si>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</si>
  <si>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</si>
  <si>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</si>
  <si>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</si>
  <si>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</si>
  <si>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</si>
  <si>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</si>
  <si>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</si>
  <si>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</si>
  <si>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</si>
  <si>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</si>
  <si>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</si>
  <si>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</si>
  <si>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</si>
  <si>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</si>
  <si>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</si>
  <si>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</si>
  <si>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</si>
  <si>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</si>
  <si>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</si>
  <si>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</si>
  <si>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</si>
  <si>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</si>
  <si>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</si>
  <si>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</si>
  <si>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</si>
  <si>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</si>
  <si>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</si>
  <si>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</si>
  <si>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</si>
  <si>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</si>
  <si>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</si>
  <si>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</si>
  <si>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</si>
  <si>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</si>
  <si>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</si>
  <si>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</si>
  <si>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</si>
  <si>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</si>
  <si>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</si>
  <si>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</si>
  <si>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</si>
  <si>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</si>
  <si>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</si>
  <si>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</si>
  <si>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</si>
  <si>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</si>
  <si>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</si>
  <si>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</si>
  <si>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</si>
  <si>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</si>
  <si>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</si>
  <si>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</si>
  <si>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</si>
  <si>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</si>
  <si>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</si>
  <si>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</si>
  <si>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</si>
  <si>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</si>
  <si>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</si>
  <si>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</si>
  <si>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</si>
  <si>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</si>
  <si>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</si>
  <si>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</si>
  <si>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</si>
  <si>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</si>
  <si>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</si>
  <si>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</si>
  <si>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</si>
  <si>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</si>
  <si>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</si>
  <si>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</si>
  <si>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</si>
  <si>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</si>
  <si>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</si>
  <si>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</si>
  <si>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</si>
  <si>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</si>
  <si>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</si>
  <si>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</si>
  <si>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</si>
  <si>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</si>
  <si>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</si>
  <si>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</si>
  <si>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</si>
  <si>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</si>
  <si>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</si>
  <si>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</si>
  <si>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</si>
  <si>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</si>
  <si>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</si>
  <si>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</si>
  <si>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</si>
  <si>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</si>
  <si>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</si>
  <si>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</si>
  <si>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</si>
  <si>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</si>
  <si>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</si>
  <si>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</si>
  <si>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</si>
  <si>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</si>
  <si>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</si>
  <si>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</si>
  <si>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</si>
  <si>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</si>
  <si>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</si>
  <si>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</si>
  <si>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</si>
  <si>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</si>
  <si>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</si>
  <si>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</si>
  <si>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</si>
  <si>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</si>
  <si>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</si>
  <si>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</si>
  <si>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</si>
  <si>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</si>
  <si>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</si>
  <si>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</si>
  <si>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</si>
  <si>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</si>
  <si>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</si>
  <si>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</si>
  <si>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</si>
  <si>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</si>
  <si>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</si>
  <si>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</si>
  <si>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</si>
  <si>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</si>
  <si>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</si>
  <si>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</si>
  <si>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</si>
  <si>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</si>
  <si>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</si>
  <si>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</si>
  <si>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</si>
  <si>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</si>
  <si>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</si>
  <si>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</si>
  <si>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</si>
  <si>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</si>
  <si>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</si>
  <si>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</si>
  <si>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</si>
  <si>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</si>
  <si>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</si>
  <si>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</si>
  <si>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</si>
  <si>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</si>
  <si>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</si>
  <si>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</si>
  <si>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</si>
  <si>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</si>
  <si>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</si>
  <si>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</si>
  <si>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</si>
  <si>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</si>
  <si>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</si>
  <si>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</si>
  <si>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</si>
  <si>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</si>
  <si>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</si>
  <si>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</si>
  <si>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</si>
  <si>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</si>
  <si>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</si>
  <si>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</si>
  <si>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</si>
  <si>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</si>
  <si>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</si>
  <si>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</si>
  <si>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</si>
  <si>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</si>
  <si>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</si>
  <si>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</si>
  <si>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</si>
  <si>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</si>
  <si>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</si>
  <si>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</si>
  <si>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</si>
  <si>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</si>
  <si>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</si>
  <si>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</si>
  <si>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</si>
  <si>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</si>
  <si>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</si>
  <si>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</si>
  <si>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</si>
  <si>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</si>
  <si>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</si>
  <si>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</si>
  <si>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</si>
  <si>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</si>
  <si>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</si>
  <si>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</si>
  <si>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</si>
  <si>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</si>
  <si>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</si>
  <si>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</si>
  <si>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</si>
  <si>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</si>
  <si>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</si>
  <si>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</si>
  <si>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</si>
  <si>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</si>
  <si>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</si>
  <si>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</si>
  <si>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</si>
  <si>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</si>
  <si>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</si>
  <si>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</si>
  <si>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</si>
  <si>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</si>
  <si>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</si>
  <si>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</si>
  <si>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</si>
  <si>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</si>
  <si>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</si>
  <si>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</si>
  <si>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</si>
  <si>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</si>
  <si>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</si>
  <si>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</si>
  <si>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</si>
  <si>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</si>
  <si>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</si>
  <si>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</si>
  <si>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</si>
  <si>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</si>
  <si>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</si>
  <si>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</si>
  <si>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</si>
  <si>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</si>
  <si>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</si>
  <si>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</si>
  <si>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</si>
  <si>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</si>
  <si>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</si>
  <si>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</si>
  <si>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</si>
  <si>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</si>
  <si>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</si>
  <si>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</si>
  <si>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</si>
  <si>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</si>
  <si>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</si>
  <si>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</si>
  <si>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</si>
  <si>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</si>
  <si>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</si>
  <si>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</si>
  <si>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</si>
  <si>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</si>
  <si>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</si>
  <si>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</si>
  <si>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</si>
  <si>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</si>
  <si>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</si>
  <si>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</si>
  <si>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</si>
  <si>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</si>
  <si>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</si>
  <si>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</si>
  <si>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</si>
  <si>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</si>
  <si>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</si>
  <si>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</si>
  <si>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</si>
  <si>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</si>
  <si>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</si>
  <si>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</si>
  <si>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</si>
  <si>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</si>
  <si>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</si>
  <si>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</si>
  <si>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</si>
  <si>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</si>
  <si>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</si>
  <si>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</si>
  <si>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</si>
  <si>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</si>
  <si>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</si>
  <si>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</si>
  <si>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</si>
  <si>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</si>
  <si>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</si>
  <si>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</si>
  <si>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</si>
  <si>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</si>
  <si>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</si>
  <si>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</si>
  <si>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</si>
  <si>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</si>
  <si>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</si>
  <si>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</si>
  <si>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</si>
  <si>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</si>
  <si>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</si>
  <si>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</si>
  <si>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</si>
  <si>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</si>
  <si>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</si>
  <si>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</si>
  <si>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</si>
  <si>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</si>
  <si>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</si>
  <si>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</si>
  <si>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</si>
  <si>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</si>
  <si>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</si>
  <si>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</si>
  <si>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</si>
  <si>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</si>
  <si>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</si>
  <si>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</si>
  <si>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</si>
  <si>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</si>
  <si>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</si>
  <si>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</si>
  <si>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</si>
  <si>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</si>
  <si>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</si>
  <si>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</si>
  <si>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</si>
  <si>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</si>
  <si>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</si>
  <si>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</si>
  <si>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</si>
  <si>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</si>
  <si>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</si>
  <si>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</si>
  <si>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</si>
  <si>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</si>
  <si>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</si>
  <si>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</si>
  <si>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</si>
  <si>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</si>
  <si>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</si>
  <si>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</si>
  <si>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</si>
  <si>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</si>
  <si>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</si>
  <si>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</si>
  <si>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</si>
  <si>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</si>
  <si>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</si>
  <si>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</si>
  <si>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</si>
  <si>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</si>
  <si>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</si>
  <si>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</si>
  <si>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</si>
  <si>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</si>
  <si>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</si>
  <si>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</si>
  <si>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</si>
  <si>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</si>
  <si>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</si>
  <si>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</si>
  <si>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</si>
  <si>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</si>
  <si>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</si>
  <si>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</si>
  <si>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</si>
  <si>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</si>
  <si>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</si>
  <si>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</si>
  <si>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</si>
  <si>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</si>
  <si>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</si>
  <si>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</si>
  <si>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</si>
  <si>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</si>
  <si>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</si>
  <si>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</si>
  <si>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</si>
  <si>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</si>
  <si>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</si>
  <si>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</si>
  <si>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</si>
  <si>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</si>
  <si>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</si>
  <si>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</si>
  <si>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</si>
  <si>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</si>
  <si>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</si>
  <si>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</si>
  <si>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</si>
  <si>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</si>
  <si>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</si>
  <si>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</si>
  <si>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</si>
  <si>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</si>
  <si>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</si>
  <si>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</si>
  <si>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</si>
  <si>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</si>
  <si>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</si>
  <si>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</si>
  <si>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</si>
  <si>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</si>
  <si>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</si>
  <si>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</si>
  <si>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</si>
  <si>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</si>
  <si>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</si>
  <si>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</si>
  <si>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</si>
  <si>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</si>
  <si>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</si>
  <si>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</si>
  <si>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</si>
  <si>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</si>
  <si>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</si>
  <si>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</si>
  <si>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</si>
  <si>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</si>
  <si>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</si>
  <si>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</si>
  <si>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</si>
  <si>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</si>
  <si>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</si>
  <si>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</si>
  <si>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</si>
  <si>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</si>
  <si>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</si>
  <si>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</si>
  <si>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</si>
  <si>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</si>
  <si>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</si>
  <si>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</si>
  <si>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</si>
  <si>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</si>
  <si>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</si>
  <si>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</si>
  <si>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</si>
  <si>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</si>
  <si>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</si>
  <si>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</si>
  <si>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</si>
  <si>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</si>
  <si>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</si>
  <si>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</si>
  <si>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</si>
  <si>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</si>
  <si>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</si>
  <si>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</si>
  <si>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</si>
  <si>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</si>
  <si>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</si>
  <si>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</si>
  <si>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</si>
  <si>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</si>
  <si>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</si>
  <si>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</si>
  <si>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</si>
  <si>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</si>
  <si>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</si>
  <si>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</si>
  <si>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</si>
  <si>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</si>
  <si>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</si>
  <si>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</si>
  <si>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</si>
  <si>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</si>
  <si>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</si>
  <si>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</si>
  <si>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</si>
  <si>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</si>
  <si>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</si>
  <si>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</si>
  <si>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</si>
  <si>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</si>
  <si>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</si>
  <si>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</si>
  <si>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</si>
  <si>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</si>
  <si>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</si>
  <si>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</si>
  <si>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</si>
  <si>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</si>
  <si>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</si>
  <si>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</si>
  <si>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</si>
  <si>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</si>
  <si>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 xml:space="preserve">TIQ </t>
  </si>
  <si>
    <t xml:space="preserve">Desacarga de pedra </t>
  </si>
  <si>
    <t>TCS-TIN</t>
  </si>
  <si>
    <t>TCSTIN</t>
  </si>
  <si>
    <t>Efraim</t>
  </si>
  <si>
    <t>2 (Maicon e Eder)</t>
  </si>
  <si>
    <t>ZSF</t>
  </si>
  <si>
    <t>ZSF-TVI</t>
  </si>
  <si>
    <t>ZSFTVI</t>
  </si>
  <si>
    <t>Ezequiel</t>
  </si>
  <si>
    <t>Deslocamento de ZSF para TVI</t>
  </si>
  <si>
    <t>TAP-TIN</t>
  </si>
  <si>
    <t>TAPTIN</t>
  </si>
  <si>
    <t>Douglas</t>
  </si>
  <si>
    <t>Deslocamento de TAP para TIN</t>
  </si>
  <si>
    <t>ZIQ</t>
  </si>
  <si>
    <t>Vieira</t>
  </si>
  <si>
    <t>Teste V97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</si>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</sst>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W1" activePane="topRight" state="frozen"/>
      <selection pane="topRight" activeCell="Y162" sqref="Y162:Y17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1558</v>
      </c>
      <c r="BK150" s="14" t="s">
        <v>1558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1559</v>
      </c>
      <c r="BK152" s="14" t="s">
        <v>1559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 hidden="1">
      <c r="A153" s="202" t="s">
        <v>1560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1561</v>
      </c>
      <c r="W153" s="206" t="s">
        <v>1562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1563</v>
      </c>
      <c r="BK153" s="226" t="s">
        <v>1563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/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1564</v>
      </c>
      <c r="BK156" s="14" t="s">
        <v>1564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>IF(BN156="","",SUBSTITUTE(BM156," ","")&amp;SUBSTITUTE(BN156," ",""))</f>
        <v>OKOK</v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1565</v>
      </c>
      <c r="BK157" s="14" t="s">
        <v>1565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659.976</v>
      </c>
      <c r="L159" s="71">
        <v>662.91099999999994</v>
      </c>
      <c r="M159" s="149" t="s">
        <v>643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 t="str">
        <f>IF(BS_CONTROLE[[#This Row],[SB]]=0, "-", BS_CONTROLE[[#This Row],[SB]])</f>
        <v>TBS1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659.976</v>
      </c>
      <c r="AQ159" s="177">
        <f>IF(BS_CONTROLE[[#This Row],[KM - Fim]]=0, "-", BS_CONTROLE[[#This Row],[KM - Fim]])</f>
        <v>662.91099999999994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 t="s">
        <v>1566</v>
      </c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 t="s">
        <v>617</v>
      </c>
      <c r="I162" s="135" t="s">
        <v>1567</v>
      </c>
      <c r="J162" s="151">
        <v>98</v>
      </c>
      <c r="K162" s="151">
        <v>659.976</v>
      </c>
      <c r="L162" s="71">
        <v>662.91099999999994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62" s="135">
        <v>0.4375</v>
      </c>
      <c r="P162" s="135">
        <v>0.125</v>
      </c>
      <c r="Q162" s="71">
        <v>1680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199" t="str">
        <f>IFERROR(_xlfn.XLOOKUP(J162, BASE_MAPA!$B$2:$B$420, BASE_MAPA!$G$2:$G$420), "ERRO")</f>
        <v>ALTO ARAGUAIA - RONDONOPOLIS</v>
      </c>
      <c r="V162" s="143" t="s">
        <v>1272</v>
      </c>
      <c r="W162" s="135" t="s">
        <v>1273</v>
      </c>
      <c r="X162" s="152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TIQ</v>
      </c>
      <c r="AL162" s="175" t="str">
        <f>IF(BS_CONTROLE[[#This Row],[Local - Encerramento]]=0, "-", BS_CONTROLE[[#This Row],[Local - Encerramento]])</f>
        <v xml:space="preserve">TIQ </v>
      </c>
      <c r="AM162" s="175" t="str">
        <f>IF(BS_CONTROLE[[#This Row],[Entre - Estações]]=0, "-", BS_CONTROLE[[#This Row],[Entre - Estações]])</f>
        <v>TBS</v>
      </c>
      <c r="AN162" s="175" t="str">
        <f>IF(BS_CONTROLE[[#This Row],[SB]]=0, "-", BS_CONTROLE[[#This Row],[SB]])</f>
        <v>TBS1</v>
      </c>
      <c r="AO162" s="176">
        <f>IF(BS_CONTROLE[[#This Row],[SUB]]=0, "-", BS_CONTROLE[[#This Row],[SUB]])</f>
        <v>98</v>
      </c>
      <c r="AP162" s="177">
        <f>IF(BS_CONTROLE[[#This Row],[KM - Inicio]]=0, "-", BS_CONTROLE[[#This Row],[KM - Inicio]])</f>
        <v>659.976</v>
      </c>
      <c r="AQ162" s="177">
        <f>IF(BS_CONTROLE[[#This Row],[KM - Fim]]=0, "-", BS_CONTROLE[[#This Row],[KM - Fim]])</f>
        <v>662.91099999999994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Antonioni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Produção e Intervalo</v>
      </c>
      <c r="BR162" s="15">
        <f t="shared" si="14"/>
        <v>0</v>
      </c>
      <c r="BS162" s="15">
        <f t="shared" si="15"/>
        <v>0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1561</v>
      </c>
      <c r="W164" s="135" t="s">
        <v>1568</v>
      </c>
      <c r="X164" s="152" t="s">
        <v>1005</v>
      </c>
      <c r="Y164" s="129" t="s">
        <v>1008</v>
      </c>
      <c r="Z164" s="129"/>
      <c r="AA164" s="71" t="s">
        <v>1265</v>
      </c>
      <c r="AB164" s="59" t="s">
        <v>997</v>
      </c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 t="s">
        <v>1008</v>
      </c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1569</v>
      </c>
      <c r="N168" s="149" t="s">
        <v>1570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 t="s">
        <v>1008</v>
      </c>
      <c r="Z168" s="129"/>
      <c r="AA168" s="71">
        <v>1</v>
      </c>
      <c r="AB168" s="59" t="s">
        <v>997</v>
      </c>
      <c r="AC168" s="59"/>
      <c r="AD168" s="135">
        <v>0.29166666666666669</v>
      </c>
      <c r="AE168" s="71">
        <v>5487</v>
      </c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1571</v>
      </c>
      <c r="W170" s="135" t="s">
        <v>1328</v>
      </c>
      <c r="X170" s="152" t="s">
        <v>1005</v>
      </c>
      <c r="Y170" s="129" t="s">
        <v>1008</v>
      </c>
      <c r="Z170" s="129"/>
      <c r="AA170" s="71" t="s">
        <v>1572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>V48</v>
      </c>
      <c r="B171" s="133"/>
      <c r="C171" s="7" t="str">
        <f>IF(BS_CONTROLE[[#This Row],[DATA]]="","",WEEKNUM(BS_CONTROLE[[#This Row],[DATA]]))</f>
        <v/>
      </c>
      <c r="D171" s="236" t="s">
        <v>183</v>
      </c>
      <c r="E171" s="185">
        <v>183</v>
      </c>
      <c r="F171" s="134" t="s">
        <v>25</v>
      </c>
      <c r="G171" s="8" t="str">
        <f>IF(D171="","*",VLOOKUP(F171,BS_ATIVIDADE[#All],3,FALSE))</f>
        <v>OUTROS</v>
      </c>
      <c r="H171" s="135" t="s">
        <v>1573</v>
      </c>
      <c r="I171" s="135" t="s">
        <v>458</v>
      </c>
      <c r="J171" s="151">
        <v>74</v>
      </c>
      <c r="K171" s="151">
        <v>421</v>
      </c>
      <c r="L171" s="71">
        <v>226</v>
      </c>
      <c r="M171" s="149" t="s">
        <v>1574</v>
      </c>
      <c r="N171" s="149" t="s">
        <v>1575</v>
      </c>
      <c r="O171" s="135">
        <v>0.375</v>
      </c>
      <c r="P171" s="135">
        <v>4.1666666666666664E-2</v>
      </c>
      <c r="Q171" s="71">
        <v>1</v>
      </c>
      <c r="R171" s="9" t="str">
        <f>IFERROR(_xlfn.XLOOKUP(F171, BS_ATIVIDADE[ATIVIDADE],BS_ATIVIDADE[UNIDADE] ), "*")</f>
        <v>BINÁRIO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BASE_MAPA!$B$2:$B$420, BASE_MAPA!$G$2:$G$420), "ERRO")</f>
        <v>MARCO INICIAL - ALTO ARAGUAIA</v>
      </c>
      <c r="V171" s="143" t="s">
        <v>1576</v>
      </c>
      <c r="W171" s="135" t="s">
        <v>1577</v>
      </c>
      <c r="X171" s="152" t="s">
        <v>1005</v>
      </c>
      <c r="Y171" s="129"/>
      <c r="Z171" s="129"/>
      <c r="AA171" s="71">
        <v>1</v>
      </c>
      <c r="AB171" s="59" t="s">
        <v>997</v>
      </c>
      <c r="AC171" s="59"/>
      <c r="AD171" s="135">
        <v>0.29166666666666669</v>
      </c>
      <c r="AE171" s="71">
        <v>6248</v>
      </c>
      <c r="AF171" s="71"/>
      <c r="AG171" s="71"/>
      <c r="AH171" s="42"/>
      <c r="AI171" s="119" t="str">
        <f>IF(BS_CONTROLE[[#This Row],[Atividade]]=0, "-", BS_CONTROLE[[#This Row],[Atividade]])</f>
        <v>DESLOCAMENTO</v>
      </c>
      <c r="AJ171" s="8" t="str">
        <f>IF(D171="","*",VLOOKUP(AI171,BS_ATIVIDADE[#Data],3,FALSE))</f>
        <v>OUTROS</v>
      </c>
      <c r="AK171" s="175" t="str">
        <f>IF(BS_CONTROLE[[#This Row],[Local - Partida]]=0, "-", BS_CONTROLE[[#This Row],[Local - Partida]])</f>
        <v>ZSF</v>
      </c>
      <c r="AL171" s="175" t="str">
        <f>IF(BS_CONTROLE[[#This Row],[Local - Encerramento]]=0, "-", BS_CONTROLE[[#This Row],[Local - Encerramento]])</f>
        <v>TVI1</v>
      </c>
      <c r="AM171" s="175" t="str">
        <f>IF(BS_CONTROLE[[#This Row],[Entre - Estações]]=0, "-", BS_CONTROLE[[#This Row],[Entre - Estações]])</f>
        <v>ZSF-TVI</v>
      </c>
      <c r="AN171" s="175" t="str">
        <f>IF(BS_CONTROLE[[#This Row],[SB]]=0, "-", BS_CONTROLE[[#This Row],[SB]])</f>
        <v>ZSFTVI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421</v>
      </c>
      <c r="AQ171" s="177">
        <f>IF(BS_CONTROLE[[#This Row],[KM - Fim]]=0, "-", BS_CONTROLE[[#This Row],[KM - Fim]])</f>
        <v>226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BINÁRIO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BASE_MAPA!$B$2:$B$420, BASE_MAPA!$G$2:$G$420), "ERRO")</f>
        <v>MARCO INICIAL - ALTO ARAGUAIA</v>
      </c>
      <c r="BF171" s="178" t="str">
        <f>IF(BS_CONTROLE[[#This Row],[Responsavel pelo boletim]]=0, "-", BS_CONTROLE[[#This Row],[Responsavel pelo boletim]])</f>
        <v>Ezequiel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 t="s">
        <v>434</v>
      </c>
      <c r="I172" s="135" t="s">
        <v>11</v>
      </c>
      <c r="J172" s="151">
        <v>74</v>
      </c>
      <c r="K172" s="151">
        <v>143.35</v>
      </c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72" s="135">
        <v>0.375</v>
      </c>
      <c r="P172" s="135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BASE_MAPA!$B$2:$B$420, BASE_MAPA!$G$2:$G$420), "ERRO")</f>
        <v>MARCO INICIAL - ALTO ARAGUAIA</v>
      </c>
      <c r="V172" s="143" t="s">
        <v>1325</v>
      </c>
      <c r="W172" s="135" t="s">
        <v>1315</v>
      </c>
      <c r="X172" s="152" t="s">
        <v>1005</v>
      </c>
      <c r="Y172" s="129" t="s">
        <v>1008</v>
      </c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TMO1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TMO</v>
      </c>
      <c r="AN172" s="175" t="str">
        <f>IF(BS_CONTROLE[[#This Row],[SB]]=0, "-", BS_CONTROLE[[#This Row],[SB]])</f>
        <v>TMO1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143.35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BASE_MAPA!$B$2:$B$420, BASE_MAPA!$G$2:$G$420), "ERRO")</f>
        <v>MARCO INICIAL - ALTO ARAGUAIA</v>
      </c>
      <c r="BF172" s="178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Produção e Intervalo</v>
      </c>
      <c r="BR172" s="15">
        <f t="shared" si="14"/>
        <v>0</v>
      </c>
      <c r="BS172" s="15">
        <f t="shared" si="15"/>
        <v>0</v>
      </c>
      <c r="BT172" s="157" t="str">
        <f t="shared" si="16"/>
        <v/>
      </c>
    </row>
    <row r="173" spans="1:72">
      <c r="A173" s="44" t="str">
        <f t="shared" si="12"/>
        <v>W4846069</v>
      </c>
      <c r="B173" s="133">
        <v>46069</v>
      </c>
      <c r="C173" s="7">
        <f>IF(BS_CONTROLE[[#This Row],[DATA]]="","",WEEKNUM(BS_CONTROLE[[#This Row],[DATA]]))</f>
        <v>8</v>
      </c>
      <c r="D173" s="45" t="s">
        <v>239</v>
      </c>
      <c r="E173" s="185">
        <v>185</v>
      </c>
      <c r="F173" s="134" t="s">
        <v>25</v>
      </c>
      <c r="G173" s="8" t="str">
        <f>IF(D173="","*",VLOOKUP(F173,BS_ATIVIDADE[#All],3,FALSE))</f>
        <v>OUTROS</v>
      </c>
      <c r="H173" s="135" t="s">
        <v>385</v>
      </c>
      <c r="I173" s="135" t="s">
        <v>418</v>
      </c>
      <c r="J173" s="151">
        <v>74</v>
      </c>
      <c r="K173" s="151">
        <v>24.84</v>
      </c>
      <c r="L173" s="71">
        <v>109</v>
      </c>
      <c r="M173" s="149" t="s">
        <v>1578</v>
      </c>
      <c r="N173" s="149" t="s">
        <v>1579</v>
      </c>
      <c r="O173" s="135">
        <v>0.375</v>
      </c>
      <c r="P173" s="135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BASE_MAPA!$B$2:$B$420, BASE_MAPA!$G$2:$G$420), "ERRO")</f>
        <v>MARCO INICIAL - ALTO ARAGUAIA</v>
      </c>
      <c r="V173" s="143" t="s">
        <v>1580</v>
      </c>
      <c r="W173" s="135" t="s">
        <v>1581</v>
      </c>
      <c r="X173" s="152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5">
        <v>0.29166666666666669</v>
      </c>
      <c r="AE173" s="71">
        <v>6202</v>
      </c>
      <c r="AF173" s="71">
        <v>6201</v>
      </c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75" t="str">
        <f>IF(BS_CONTROLE[[#This Row],[Local - Partida]]=0, "-", BS_CONTROLE[[#This Row],[Local - Partida]])</f>
        <v>TAP</v>
      </c>
      <c r="AL173" s="175" t="str">
        <f>IF(BS_CONTROLE[[#This Row],[Local - Encerramento]]=0, "-", BS_CONTROLE[[#This Row],[Local - Encerramento]])</f>
        <v>TIN1</v>
      </c>
      <c r="AM173" s="175" t="str">
        <f>IF(BS_CONTROLE[[#This Row],[Entre - Estações]]=0, "-", BS_CONTROLE[[#This Row],[Entre - Estações]])</f>
        <v>TAP-TIN</v>
      </c>
      <c r="AN173" s="175" t="str">
        <f>IF(BS_CONTROLE[[#This Row],[SB]]=0, "-", BS_CONTROLE[[#This Row],[SB]])</f>
        <v>TAPTIN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24.84</v>
      </c>
      <c r="AQ173" s="177">
        <f>IF(BS_CONTROLE[[#This Row],[KM - Fim]]=0, "-", BS_CONTROLE[[#This Row],[KM - Fim]])</f>
        <v>109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BASE_MAPA!$B$2:$B$420, BASE_MAPA!$G$2:$G$420), "ERRO")</f>
        <v>MARCO INICIAL - ALTO ARAGUAIA</v>
      </c>
      <c r="BF173" s="178" t="str">
        <f>IF(BS_CONTROLE[[#This Row],[Responsavel pelo boletim]]=0, "-", BS_CONTROLE[[#This Row],[Responsavel pelo boletim]])</f>
        <v>Douglas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Produção e Intervalo</v>
      </c>
      <c r="BR173" s="15">
        <f t="shared" si="14"/>
        <v>0</v>
      </c>
      <c r="BS173" s="15">
        <f t="shared" si="15"/>
        <v>0</v>
      </c>
      <c r="BT173" s="157" t="str">
        <f t="shared" si="16"/>
        <v/>
      </c>
    </row>
    <row r="174" spans="1:72">
      <c r="A174" s="44" t="str">
        <f t="shared" si="12"/>
        <v>V9746069</v>
      </c>
      <c r="B174" s="133">
        <v>46069</v>
      </c>
      <c r="C174" s="7">
        <f>IF(BS_CONTROLE[[#This Row],[DATA]]="","",WEEKNUM(BS_CONTROLE[[#This Row],[DATA]]))</f>
        <v>8</v>
      </c>
      <c r="D174" s="45" t="s">
        <v>236</v>
      </c>
      <c r="E174" s="185">
        <v>186</v>
      </c>
      <c r="F174" s="134" t="s">
        <v>25</v>
      </c>
      <c r="G174" s="8" t="str">
        <f>IF(D174="","*",VLOOKUP(F174,BS_ATIVIDADE[#All],3,FALSE))</f>
        <v>OUTROS</v>
      </c>
      <c r="H174" s="135" t="s">
        <v>1582</v>
      </c>
      <c r="I174" s="135" t="s">
        <v>716</v>
      </c>
      <c r="J174" s="151">
        <v>78</v>
      </c>
      <c r="K174" s="151">
        <v>180</v>
      </c>
      <c r="L174" s="71">
        <v>189.45500000000001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4" s="135">
        <v>0.375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199" t="str">
        <f>IFERROR(_xlfn.XLOOKUP(J174, BASE_MAPA!$B$2:$B$420, BASE_MAPA!$G$2:$G$420), "ERRO")</f>
        <v>ITIRAPINA - BAURU</v>
      </c>
      <c r="V174" s="143" t="s">
        <v>1583</v>
      </c>
      <c r="W174" s="135" t="s">
        <v>1584</v>
      </c>
      <c r="X174" s="152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ZIQ</v>
      </c>
      <c r="AL174" s="175" t="str">
        <f>IF(BS_CONTROLE[[#This Row],[Local - Encerramento]]=0, "-", BS_CONTROLE[[#This Row],[Local - Encerramento]])</f>
        <v>ZFH</v>
      </c>
      <c r="AM174" s="175" t="str">
        <f>IF(BS_CONTROLE[[#This Row],[Entre - Estações]]=0, "-", BS_CONTROLE[[#This Row],[Entre - Estações]])</f>
        <v>ZIQ-ZQY</v>
      </c>
      <c r="AN174" s="175" t="str">
        <f>IF(BS_CONTROLE[[#This Row],[SB]]=0, "-", BS_CONTROLE[[#This Row],[SB]])</f>
        <v>ZIQZQY</v>
      </c>
      <c r="AO174" s="176">
        <f>IF(BS_CONTROLE[[#This Row],[SUB]]=0, "-", BS_CONTROLE[[#This Row],[SUB]])</f>
        <v>78</v>
      </c>
      <c r="AP174" s="177">
        <f>IF(BS_CONTROLE[[#This Row],[KM - Inicio]]=0, "-", BS_CONTROLE[[#This Row],[KM - Inicio]])</f>
        <v>180</v>
      </c>
      <c r="AQ174" s="177">
        <f>IF(BS_CONTROLE[[#This Row],[KM - Fim]]=0, "-", BS_CONTROLE[[#This Row],[KM - Fim]])</f>
        <v>189.45500000000001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200" t="str">
        <f>IFERROR(_xlfn.XLOOKUP(AO174, BASE_MAPA!$B$2:$B$420, BASE_MAPA!$G$2:$G$420), "ERRO")</f>
        <v>ITIRAPINA - BAURU</v>
      </c>
      <c r="BF174" s="178" t="str">
        <f>IF(BS_CONTROLE[[#This Row],[Responsavel pelo boletim]]=0, "-", BS_CONTROLE[[#This Row],[Responsavel pelo boletim]])</f>
        <v>Vieira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Produção e Intervalo</v>
      </c>
      <c r="BR174" s="15">
        <f t="shared" si="14"/>
        <v>0</v>
      </c>
      <c r="BS174" s="15">
        <f t="shared" si="15"/>
        <v>0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 BK150 BK152:BK153 BK156:BK157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149 BK151 BK154:BK155 BK158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1585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1586</v>
      </c>
      <c r="E3" s="186" t="s">
        <v>1587</v>
      </c>
      <c r="F3" s="186" t="s">
        <v>1588</v>
      </c>
      <c r="G3" s="186" t="s">
        <v>1589</v>
      </c>
      <c r="H3" s="186" t="s">
        <v>1590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1591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1592</v>
      </c>
      <c r="D12" s="187">
        <v>9049</v>
      </c>
      <c r="E12" s="188">
        <v>46044</v>
      </c>
      <c r="F12" s="190" t="s">
        <v>1593</v>
      </c>
      <c r="G12" s="187" t="s">
        <v>1594</v>
      </c>
      <c r="H12" s="187"/>
    </row>
    <row r="13" spans="3:8">
      <c r="C13" s="187" t="s">
        <v>1592</v>
      </c>
      <c r="D13" s="187">
        <v>9044</v>
      </c>
      <c r="E13" s="188">
        <v>46044</v>
      </c>
      <c r="F13" s="190" t="s">
        <v>1595</v>
      </c>
      <c r="G13" s="187" t="s">
        <v>1596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1597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1597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1598</v>
      </c>
      <c r="C2" s="83" t="s">
        <v>1196</v>
      </c>
      <c r="D2" s="83" t="s">
        <v>1198</v>
      </c>
      <c r="E2" s="83" t="s">
        <v>1599</v>
      </c>
      <c r="F2" s="83" t="s">
        <v>1600</v>
      </c>
      <c r="G2" s="83" t="s">
        <v>1601</v>
      </c>
      <c r="H2" s="83" t="s">
        <v>1602</v>
      </c>
      <c r="I2" s="83" t="s">
        <v>1603</v>
      </c>
      <c r="J2" s="83" t="s">
        <v>1604</v>
      </c>
      <c r="K2" s="109" t="s">
        <v>1605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OPORTUNIDADE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TIQ</v>
      </c>
      <c r="F157" s="114" t="str">
        <f>IF(FN_MC!M162="","*",FN_MC!M162)</f>
        <v>TBS</v>
      </c>
      <c r="G157" s="101" t="str">
        <f>IF(FN_MC!I162="","*",FN_MC!I162)</f>
        <v xml:space="preserve">TIQ 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OPORTUNIDADE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FIXO</v>
      </c>
      <c r="I159" s="101" t="str">
        <f>IF(FN_MC!AC164="","*",FN_MC!AC164)</f>
        <v>*</v>
      </c>
      <c r="J159" s="102" t="str">
        <f>IF(FN_MC!AA164="","*",FN_MC!AA164)</f>
        <v>2 (Enio e Daniel)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OPORTUNIDADE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OPORTUNIDADE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FIXO</v>
      </c>
      <c r="I163" s="101" t="str">
        <f>IF(FN_MC!AC168="","*",FN_MC!AC168)</f>
        <v>*</v>
      </c>
      <c r="J163" s="102">
        <f>IF(FN_MC!AA168="","*",FN_MC!AA168)</f>
        <v>1</v>
      </c>
      <c r="K163" s="112">
        <f>IF(FN_MC!AD168="","*",FN_MC!AD168)</f>
        <v>0.29166666666666669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OPORTUNIDADE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V48</v>
      </c>
      <c r="E166" s="101" t="str">
        <f>IF(FN_MC!H171="","*",FN_MC!H171)</f>
        <v>ZSF</v>
      </c>
      <c r="F166" s="114" t="str">
        <f>IF(FN_MC!M171="","*",FN_MC!M171)</f>
        <v>ZSF-TVI</v>
      </c>
      <c r="G166" s="101" t="str">
        <f>IF(FN_MC!I171="","*",FN_MC!I171)</f>
        <v>TVI1</v>
      </c>
      <c r="H166" s="101" t="str">
        <f>IF(FN_MC!AB171="","*",FN_MC!AB171)</f>
        <v>FIXO</v>
      </c>
      <c r="I166" s="101" t="str">
        <f>IF(FN_MC!AC171="","*",FN_MC!AC171)</f>
        <v>*</v>
      </c>
      <c r="J166" s="102">
        <f>IF(FN_MC!AA171="","*",FN_MC!AA171)</f>
        <v>1</v>
      </c>
      <c r="K166" s="112">
        <f>IF(FN_MC!AD171="","*",FN_MC!AD171)</f>
        <v>0.29166666666666669</v>
      </c>
    </row>
    <row r="167" spans="2:11" hidden="1">
      <c r="B167" s="100" t="str">
        <f>IF(FN_MC!Y172="","*",FN_MC!Y172)</f>
        <v>OPORTUNIDADE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TMO1</v>
      </c>
      <c r="F167" s="114" t="str">
        <f>IF(FN_MC!M172="","*",FN_MC!M172)</f>
        <v>TMO</v>
      </c>
      <c r="G167" s="101" t="str">
        <f>IF(FN_MC!I172="","*",FN_MC!I172)</f>
        <v>-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OPORTUNIDADE</v>
      </c>
      <c r="C168" s="101">
        <f>IF(FN_MC!B173="","*",FN_MC!B173)</f>
        <v>46069</v>
      </c>
      <c r="D168" s="101" t="str">
        <f>IF(FN_MC!D173="","*",FN_MC!D173)</f>
        <v>W48</v>
      </c>
      <c r="E168" s="101" t="str">
        <f>IF(FN_MC!H173="","*",FN_MC!H173)</f>
        <v>TAP</v>
      </c>
      <c r="F168" s="114" t="str">
        <f>IF(FN_MC!M173="","*",FN_MC!M173)</f>
        <v>TAP-TIN</v>
      </c>
      <c r="G168" s="101" t="str">
        <f>IF(FN_MC!I173="","*",FN_MC!I173)</f>
        <v>TIN1</v>
      </c>
      <c r="H168" s="101" t="str">
        <f>IF(FN_MC!AB173="","*",FN_MC!AB173)</f>
        <v>FIXO</v>
      </c>
      <c r="I168" s="101" t="str">
        <f>IF(FN_MC!AC173="","*",FN_MC!AC173)</f>
        <v>*</v>
      </c>
      <c r="J168" s="102">
        <f>IF(FN_MC!AA173="","*",FN_MC!AA173)</f>
        <v>1</v>
      </c>
      <c r="K168" s="112">
        <f>IF(FN_MC!AD173="","*",FN_MC!AD173)</f>
        <v>0.29166666666666669</v>
      </c>
    </row>
    <row r="169" spans="2:11" hidden="1">
      <c r="B169" s="100" t="str">
        <f>IF(FN_MC!Y174="","*",FN_MC!Y174)</f>
        <v>OPORTUNIDADE</v>
      </c>
      <c r="C169" s="101">
        <f>IF(FN_MC!B174="","*",FN_MC!B174)</f>
        <v>46069</v>
      </c>
      <c r="D169" s="101" t="str">
        <f>IF(FN_MC!D174="","*",FN_MC!D174)</f>
        <v>V97</v>
      </c>
      <c r="E169" s="101" t="str">
        <f>IF(FN_MC!H174="","*",FN_MC!H174)</f>
        <v>ZIQ</v>
      </c>
      <c r="F169" s="114" t="str">
        <f>IF(FN_MC!M174="","*",FN_MC!M174)</f>
        <v>ZIQ-ZQY</v>
      </c>
      <c r="G169" s="101" t="str">
        <f>IF(FN_MC!I174="","*",FN_MC!I174)</f>
        <v>ZFH</v>
      </c>
      <c r="H169" s="101" t="str">
        <f>IF(FN_MC!AB174="","*",FN_MC!AB174)</f>
        <v>FIXO</v>
      </c>
      <c r="I169" s="101" t="str">
        <f>IF(FN_MC!AC174="","*",FN_MC!AC174)</f>
        <v>*</v>
      </c>
      <c r="J169" s="102">
        <f>IF(FN_MC!AA174="","*",FN_MC!AA174)</f>
        <v>1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workbookViewId="0">
      <selection activeCell="D909" sqref="D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1606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1607</v>
      </c>
      <c r="B3" s="91" t="s">
        <v>1608</v>
      </c>
      <c r="C3" s="91" t="s">
        <v>7</v>
      </c>
      <c r="D3" s="92" t="s">
        <v>1211</v>
      </c>
      <c r="E3" s="92" t="s">
        <v>366</v>
      </c>
      <c r="F3" s="92" t="s">
        <v>1609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1610</v>
      </c>
      <c r="T3" s="94" t="s">
        <v>1214</v>
      </c>
      <c r="U3" s="90">
        <f ca="1">TODAY()-1</f>
        <v>46067</v>
      </c>
      <c r="V3" s="90">
        <f ca="1">U3-1</f>
        <v>46066</v>
      </c>
      <c r="W3" s="90">
        <f ca="1">V3-1</f>
        <v>46065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3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4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3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857</v>
      </c>
      <c r="W22" s="98">
        <f ca="1">_xlfn.XLOOKUP(G22&amp;$W$3,BS_CONTROLE[CHAVE],BS_CONTROLE[Quantidade_11],"-")</f>
        <v>15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14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3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857</v>
      </c>
      <c r="W34" s="98">
        <f ca="1">_xlfn.XLOOKUP(G34&amp;$W$3,BS_CONTROLE[CHAVE],BS_CONTROLE[Quantidade_11],"-")</f>
        <v>15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250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3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857</v>
      </c>
      <c r="W47" s="98">
        <f ca="1">_xlfn.XLOOKUP(G47&amp;$W$3,BS_CONTROLE[CHAVE],BS_CONTROLE[Quantidade_11],"-")</f>
        <v>15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250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1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3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250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857</v>
      </c>
      <c r="W59" s="98">
        <f ca="1">_xlfn.XLOOKUP(G59&amp;$W$3,BS_CONTROLE[CHAVE],BS_CONTROLE[Quantidade_11],"-")</f>
        <v>15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1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3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>
        <f ca="1">_xlfn.XLOOKUP(G67&amp;$W$3,BS_CONTROLE[CHAVE],BS_CONTROLE[Quantidade_11],"-")</f>
        <v>1525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>
        <f ca="1">_xlfn.XLOOKUP(G69&amp;$W$3,BS_CONTROLE[CHAVE],BS_CONTROLE[Quantidade_11],"-")</f>
        <v>1525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3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250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857</v>
      </c>
      <c r="W77" s="98">
        <f ca="1">_xlfn.XLOOKUP(G77&amp;$W$3,BS_CONTROLE[CHAVE],BS_CONTROLE[Quantidade_11],"-")</f>
        <v>15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>
        <f ca="1">_xlfn.XLOOKUP(G78&amp;$W$3,BS_CONTROLE[CHAVE],BS_CONTROLE[Quantidade_11],"-")</f>
        <v>1525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1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27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3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857</v>
      </c>
      <c r="W90" s="98">
        <f ca="1">_xlfn.XLOOKUP(G90&amp;$W$3,BS_CONTROLE[CHAVE],BS_CONTROLE[Quantidade_11],"-")</f>
        <v>15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>
        <f ca="1">_xlfn.XLOOKUP(G92&amp;$W$3,BS_CONTROLE[CHAVE],BS_CONTROLE[Quantidade_11],"-")</f>
        <v>1525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250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4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14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3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250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>
        <f ca="1">_xlfn.XLOOKUP(G106&amp;$W$3,BS_CONTROLE[CHAVE],BS_CONTROLE[Quantidade_11],"-")</f>
        <v>1525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857</v>
      </c>
      <c r="W107" s="98">
        <f ca="1">_xlfn.XLOOKUP(G107&amp;$W$3,BS_CONTROLE[CHAVE],BS_CONTROLE[Quantidade_11],"-")</f>
        <v>15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27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>
        <f ca="1">_xlfn.XLOOKUP(G116&amp;$W$3,BS_CONTROLE[CHAVE],BS_CONTROLE[Quantidade_11],"-")</f>
        <v>12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250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857</v>
      </c>
      <c r="W120" s="98">
        <f ca="1">_xlfn.XLOOKUP(G120&amp;$W$3,BS_CONTROLE[CHAVE],BS_CONTROLE[Quantidade_11],"-")</f>
        <v>15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1525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2698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2</v>
      </c>
      <c r="V124" s="98">
        <f ca="1">_xlfn.XLOOKUP(G124&amp;$V$3,BS_CONTROLE[CHAVE],BS_CONTROLE[Quantidade_11],"-")</f>
        <v>0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4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>
        <f ca="1">_xlfn.XLOOKUP(G129&amp;$W$3,BS_CONTROLE[CHAVE],BS_CONTROLE[Quantidade_11],"-")</f>
        <v>14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27</v>
      </c>
      <c r="V133" s="98">
        <f ca="1">_xlfn.XLOOKUP(G133&amp;$V$3,BS_CONTROLE[CHAVE],BS_CONTROLE[Quantidade_11],"-")</f>
        <v>20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2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2</v>
      </c>
      <c r="V137" s="98">
        <f ca="1">_xlfn.XLOOKUP(G137&amp;$V$3,BS_CONTROLE[CHAVE],BS_CONTROLE[Quantidade_11],"-")</f>
        <v>3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>
        <f ca="1">_xlfn.XLOOKUP(G138&amp;$V$3,BS_CONTROLE[CHAVE],BS_CONTROLE[Quantidade_11],"-")</f>
        <v>857</v>
      </c>
      <c r="W138" s="98">
        <f ca="1">_xlfn.XLOOKUP(G138&amp;$W$3,BS_CONTROLE[CHAVE],BS_CONTROLE[Quantidade_11],"-")</f>
        <v>15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>
        <f ca="1">_xlfn.XLOOKUP(G141&amp;$V$3,BS_CONTROLE[CHAVE],BS_CONTROLE[Quantidade_11],"-")</f>
        <v>2698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2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1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1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>
        <f ca="1">_xlfn.XLOOKUP(G150&amp;$U$3,BS_CONTROLE[CHAVE],BS_CONTROLE[Quantidade_11],"-")</f>
        <v>2</v>
      </c>
      <c r="V150" s="98">
        <f ca="1">_xlfn.XLOOKUP(G150&amp;$V$3,BS_CONTROLE[CHAVE],BS_CONTROLE[Quantidade_11],"-")</f>
        <v>0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>
        <f ca="1">_xlfn.XLOOKUP(G151&amp;$U$3,BS_CONTROLE[CHAVE],BS_CONTROLE[Quantidade_11],"-")</f>
        <v>27</v>
      </c>
      <c r="V151" s="98">
        <f ca="1">_xlfn.XLOOKUP(G151&amp;$V$3,BS_CONTROLE[CHAVE],BS_CONTROLE[Quantidade_11],"-")</f>
        <v>20</v>
      </c>
      <c r="W151" s="98">
        <f ca="1">_xlfn.XLOOKUP(G151&amp;$W$3,BS_CONTROLE[CHAVE],BS_CONTROLE[Quantidade_11],"-")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3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>
        <f ca="1">_xlfn.XLOOKUP(G155&amp;$U$3,BS_CONTROLE[CHAVE],BS_CONTROLE[Quantidade_11],"-")</f>
        <v>2</v>
      </c>
      <c r="V155" s="98">
        <f ca="1">_xlfn.XLOOKUP(G155&amp;$V$3,BS_CONTROLE[CHAVE],BS_CONTROLE[Quantidade_11],"-")</f>
        <v>0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 t="str">
        <f>IF(FN_MC!N159="","*",FN_MC!N159)</f>
        <v>TBS1</v>
      </c>
      <c r="M157" s="97">
        <f>IF(FN_MC!J159="","*",FN_MC!J159)</f>
        <v>98</v>
      </c>
      <c r="N157" s="183">
        <f>IF(FN_MC!K159="","*",FN_MC!K159)</f>
        <v>659.976</v>
      </c>
      <c r="O157" s="183">
        <f>IF(FN_MC!L159="","*",FN_MC!L159)</f>
        <v>662.91099999999994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TGR-TRO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TIQ</v>
      </c>
      <c r="J160" s="96" t="str">
        <f>IF(FN_MC!I162="","*",FN_MC!I162)</f>
        <v xml:space="preserve">TIQ </v>
      </c>
      <c r="K160" s="96" t="str">
        <f>IF(FN_MC!M162="","*",FN_MC!M162)</f>
        <v>TBS</v>
      </c>
      <c r="L160" s="196" t="str">
        <f>IF(FN_MC!N162="","*",FN_MC!N162)</f>
        <v>TBS1</v>
      </c>
      <c r="M160" s="97">
        <f>IF(FN_MC!J162="","*",FN_MC!J162)</f>
        <v>98</v>
      </c>
      <c r="N160" s="183">
        <f>IF(FN_MC!K162="","*",FN_MC!K162)</f>
        <v>659.976</v>
      </c>
      <c r="O160" s="183">
        <f>IF(FN_MC!L162="","*",FN_MC!L162)</f>
        <v>662.91099999999994</v>
      </c>
      <c r="P160" s="107">
        <f>IF(FN_MC!O162="","*",FN_MC!O162)</f>
        <v>0.4375</v>
      </c>
      <c r="Q160" s="107">
        <f>IF(FN_MC!P162="","*",FN_MC!P162)</f>
        <v>0.125</v>
      </c>
      <c r="R160" s="96" t="str">
        <f>IF(FN_MC!Q162="","*",CONCATENATE(FN_MC!Q162," ",FN_MC!R162))</f>
        <v>1680 M</v>
      </c>
      <c r="S160" s="96" t="str">
        <f>IF(FN_MC!V162="","*",FN_MC!V162)</f>
        <v>Antonioni</v>
      </c>
      <c r="T160" s="96" t="str">
        <f>IF(FN_MC!W162="","*",FN_MC!W162)</f>
        <v>Socaria mecanizada</v>
      </c>
      <c r="U160" s="98">
        <f ca="1">_xlfn.XLOOKUP(G160&amp;$U$3,BS_CONTROLE[CHAVE],BS_CONTROLE[Quantidade_11],"-")</f>
        <v>1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IF(FN_MC!Y164="","*",FN_MC!Y164)</f>
        <v>OPORTUNIDADE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>
        <f ca="1">_xlfn.XLOOKUP(G162&amp;$U$3,BS_CONTROLE[CHAVE],BS_CONTROLE[Quantidade_11],"-")</f>
        <v>27</v>
      </c>
      <c r="V162" s="98">
        <f ca="1">_xlfn.XLOOKUP(G162&amp;$V$3,BS_CONTROLE[CHAVE],BS_CONTROLE[Quantidade_11],"-")</f>
        <v>20</v>
      </c>
      <c r="W162" s="98">
        <f ca="1">_xlfn.XLOOKUP(G162&amp;$W$3,BS_CONTROLE[CHAVE],BS_CONTROLE[Quantidade_11],"-")</f>
        <v>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IF(FN_MC!Y166="","*",FN_MC!Y166)</f>
        <v>OPORTUNIDADE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2</v>
      </c>
      <c r="V164" s="98">
        <f ca="1">_xlfn.XLOOKUP(G164&amp;$V$3,BS_CONTROLE[CHAVE],BS_CONTROLE[Quantidade_11],"-")</f>
        <v>3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IF(FN_MC!Y168="","*",FN_MC!Y168)</f>
        <v>OPORTUNIDADE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250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IF(FN_MC!Y170="","*",FN_MC!Y170)</f>
        <v>OPORTUNIDADE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857</v>
      </c>
      <c r="W168" s="98">
        <f ca="1">_xlfn.XLOOKUP(G168&amp;$W$3,BS_CONTROLE[CHAVE],BS_CONTROLE[Quantidade_11],"-")</f>
        <v>15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Oportunidade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TCS-TGR</v>
      </c>
      <c r="F169" s="96" t="str">
        <f>IF(FN_MC!B171="","*",FN_MC!B171)</f>
        <v>*</v>
      </c>
      <c r="G169" s="96" t="str">
        <f>IF(FN_MC!D171="","*",FN_MC!D171)</f>
        <v>V48</v>
      </c>
      <c r="H169" s="96" t="str">
        <f>IF(FN_MC!F171="","*",FN_MC!F171)</f>
        <v>DESLOCAMENTO</v>
      </c>
      <c r="I169" s="96" t="str">
        <f>IF(FN_MC!H171="","*",FN_MC!H171)</f>
        <v>ZSF</v>
      </c>
      <c r="J169" s="96" t="str">
        <f>IF(FN_MC!I171="","*",FN_MC!I171)</f>
        <v>TVI1</v>
      </c>
      <c r="K169" s="96" t="str">
        <f>IF(FN_MC!M171="","*",FN_MC!M171)</f>
        <v>ZSF-TVI</v>
      </c>
      <c r="L169" s="196" t="str">
        <f>IF(FN_MC!N171="","*",FN_MC!N171)</f>
        <v>ZSFTVI</v>
      </c>
      <c r="M169" s="97">
        <f>IF(FN_MC!J171="","*",FN_MC!J171)</f>
        <v>74</v>
      </c>
      <c r="N169" s="183">
        <f>IF(FN_MC!K171="","*",FN_MC!K171)</f>
        <v>421</v>
      </c>
      <c r="O169" s="183">
        <f>IF(FN_MC!L171="","*",FN_MC!L171)</f>
        <v>226</v>
      </c>
      <c r="P169" s="107">
        <f>IF(FN_MC!O171="","*",FN_MC!O171)</f>
        <v>0.375</v>
      </c>
      <c r="Q169" s="107">
        <f>IF(FN_MC!P171="","*",FN_MC!P171)</f>
        <v>4.1666666666666664E-2</v>
      </c>
      <c r="R169" s="96" t="str">
        <f>IF(FN_MC!Q171="","*",CONCATENATE(FN_MC!Q171," ",FN_MC!R171))</f>
        <v>1 BINÁRIO</v>
      </c>
      <c r="S169" s="96" t="str">
        <f>IF(FN_MC!V171="","*",FN_MC!V171)</f>
        <v>Ezequiel</v>
      </c>
      <c r="T169" s="96" t="str">
        <f>IF(FN_MC!W171="","*",FN_MC!W171)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IF(FN_MC!Y172="","*",FN_MC!Y172)</f>
        <v>OPORTUNIDADE</v>
      </c>
      <c r="B170" s="95" t="str">
        <f>IF(FN_MC!X172="","*",FN_MC!X172)</f>
        <v>Oportunidade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TMO1</v>
      </c>
      <c r="J170" s="96" t="str">
        <f>IF(FN_MC!I172="","*",FN_MC!I172)</f>
        <v>-</v>
      </c>
      <c r="K170" s="96" t="str">
        <f>IF(FN_MC!M172="","*",FN_MC!M172)</f>
        <v>TMO</v>
      </c>
      <c r="L170" s="196" t="str">
        <f>IF(FN_MC!N172="","*",FN_MC!N172)</f>
        <v>TMO1</v>
      </c>
      <c r="M170" s="97">
        <f>IF(FN_MC!J172="","*",FN_MC!J172)</f>
        <v>74</v>
      </c>
      <c r="N170" s="183">
        <f>IF(FN_MC!K172="","*",FN_MC!K172)</f>
        <v>143.35</v>
      </c>
      <c r="O170" s="18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46069</v>
      </c>
      <c r="G171" s="96" t="str">
        <f>IF(FN_MC!D173="","*",FN_MC!D173)</f>
        <v>W48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TIN1</v>
      </c>
      <c r="K171" s="96" t="str">
        <f>IF(FN_MC!M173="","*",FN_MC!M173)</f>
        <v>TAP-TIN</v>
      </c>
      <c r="L171" s="196" t="str">
        <f>IF(FN_MC!N173="","*",FN_MC!N173)</f>
        <v>TAPTIN</v>
      </c>
      <c r="M171" s="97">
        <f>IF(FN_MC!J173="","*",FN_MC!J173)</f>
        <v>74</v>
      </c>
      <c r="N171" s="183">
        <f>IF(FN_MC!K173="","*",FN_MC!K173)</f>
        <v>24.84</v>
      </c>
      <c r="O171" s="183">
        <f>IF(FN_MC!L173="","*",FN_MC!L173)</f>
        <v>109</v>
      </c>
      <c r="P171" s="107">
        <f>IF(FN_MC!O173="","*",FN_MC!O173)</f>
        <v>0.375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Douglas</v>
      </c>
      <c r="T171" s="96" t="str">
        <f>IF(FN_MC!W173="","*",FN_MC!W173)</f>
        <v>Deslocamento de TAP para TIN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2698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MALHA CENTRAL</v>
      </c>
      <c r="E172" s="96" t="str">
        <f>IF(FN_MC!T174="","*",FN_MC!T174)</f>
        <v>RAMAL</v>
      </c>
      <c r="F172" s="96">
        <f>IF(FN_MC!B174="","*",FN_MC!B174)</f>
        <v>46069</v>
      </c>
      <c r="G172" s="96" t="str">
        <f>IF(FN_MC!D174="","*",FN_MC!D174)</f>
        <v>V97</v>
      </c>
      <c r="H172" s="96" t="str">
        <f>IF(FN_MC!F174="","*",FN_MC!F174)</f>
        <v>DESLOCAMENTO</v>
      </c>
      <c r="I172" s="96" t="str">
        <f>IF(FN_MC!H174="","*",FN_MC!H174)</f>
        <v>ZIQ</v>
      </c>
      <c r="J172" s="96" t="str">
        <f>IF(FN_MC!I174="","*",FN_MC!I174)</f>
        <v>ZFH</v>
      </c>
      <c r="K172" s="96" t="str">
        <f>IF(FN_MC!M174="","*",FN_MC!M174)</f>
        <v>ZIQ-ZQY</v>
      </c>
      <c r="L172" s="196" t="str">
        <f>IF(FN_MC!N174="","*",FN_MC!N174)</f>
        <v>ZIQZQY</v>
      </c>
      <c r="M172" s="97">
        <f>IF(FN_MC!J174="","*",FN_MC!J174)</f>
        <v>78</v>
      </c>
      <c r="N172" s="183">
        <f>IF(FN_MC!K174="","*",FN_MC!K174)</f>
        <v>180</v>
      </c>
      <c r="O172" s="183">
        <f>IF(FN_MC!L174="","*",FN_MC!L174)</f>
        <v>189.45500000000001</v>
      </c>
      <c r="P172" s="107">
        <f>IF(FN_MC!O174="","*",FN_MC!O174)</f>
        <v>0.375</v>
      </c>
      <c r="Q172" s="107">
        <f>IF(FN_MC!P174="","*",FN_MC!P174)</f>
        <v>4.1666666666666664E-2</v>
      </c>
      <c r="R172" s="96" t="str">
        <f>IF(FN_MC!Q174="","*",CONCATENATE(FN_MC!Q174," ",FN_MC!R174))</f>
        <v>1 BINÁRIO</v>
      </c>
      <c r="S172" s="96" t="str">
        <f>IF(FN_MC!V174="","*",FN_MC!V174)</f>
        <v>Vieira</v>
      </c>
      <c r="T172" s="96" t="str">
        <f>IF(FN_MC!W174="","*",FN_MC!W174)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1611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1612</v>
      </c>
      <c r="C4" s="191" t="s">
        <v>1613</v>
      </c>
      <c r="D4" s="191" t="s">
        <v>1614</v>
      </c>
      <c r="E4" s="191" t="s">
        <v>1615</v>
      </c>
      <c r="F4" s="191" t="s">
        <v>366</v>
      </c>
      <c r="G4" s="191" t="s">
        <v>1616</v>
      </c>
    </row>
    <row r="5" spans="2:7">
      <c r="B5" s="192" t="s">
        <v>1617</v>
      </c>
      <c r="C5" s="192">
        <v>309525</v>
      </c>
      <c r="D5" s="192" t="s">
        <v>1618</v>
      </c>
      <c r="E5" s="192" t="s">
        <v>249</v>
      </c>
      <c r="F5" s="192" t="s">
        <v>1619</v>
      </c>
      <c r="G5" s="193">
        <v>46296</v>
      </c>
    </row>
    <row r="6" spans="2:7">
      <c r="B6" s="192" t="s">
        <v>1620</v>
      </c>
      <c r="C6" s="192">
        <v>257410</v>
      </c>
      <c r="D6" s="192" t="s">
        <v>1621</v>
      </c>
      <c r="E6" s="192" t="s">
        <v>249</v>
      </c>
      <c r="F6" s="192" t="s">
        <v>1619</v>
      </c>
      <c r="G6" s="193"/>
    </row>
    <row r="7" spans="2:7">
      <c r="B7" s="192" t="s">
        <v>1481</v>
      </c>
      <c r="C7" s="192">
        <v>256875</v>
      </c>
      <c r="D7" s="192" t="s">
        <v>1622</v>
      </c>
      <c r="E7" s="192" t="s">
        <v>249</v>
      </c>
      <c r="F7" s="192" t="s">
        <v>1619</v>
      </c>
      <c r="G7" s="193">
        <v>46296</v>
      </c>
    </row>
    <row r="8" spans="2:7">
      <c r="B8" s="192" t="s">
        <v>1623</v>
      </c>
      <c r="C8" s="192">
        <v>257278</v>
      </c>
      <c r="D8" s="192" t="s">
        <v>1624</v>
      </c>
      <c r="E8" s="192" t="s">
        <v>240</v>
      </c>
      <c r="F8" s="192" t="s">
        <v>1625</v>
      </c>
      <c r="G8" s="193">
        <v>46235</v>
      </c>
    </row>
    <row r="9" spans="2:7">
      <c r="B9" s="192" t="s">
        <v>1626</v>
      </c>
      <c r="C9" s="192">
        <v>261794</v>
      </c>
      <c r="D9" s="192" t="s">
        <v>1627</v>
      </c>
      <c r="E9" s="192" t="s">
        <v>240</v>
      </c>
      <c r="F9" s="192" t="s">
        <v>1625</v>
      </c>
      <c r="G9" s="193">
        <v>46082</v>
      </c>
    </row>
    <row r="10" spans="2:7">
      <c r="B10" s="192" t="s">
        <v>1628</v>
      </c>
      <c r="C10" s="192">
        <v>257033</v>
      </c>
      <c r="D10" s="192" t="s">
        <v>1629</v>
      </c>
      <c r="E10" s="192" t="s">
        <v>240</v>
      </c>
      <c r="F10" s="192" t="s">
        <v>480</v>
      </c>
      <c r="G10" s="192" t="s">
        <v>1630</v>
      </c>
    </row>
    <row r="11" spans="2:7">
      <c r="B11" s="192" t="s">
        <v>1631</v>
      </c>
      <c r="C11" s="192">
        <v>396578</v>
      </c>
      <c r="D11" s="192" t="s">
        <v>1632</v>
      </c>
      <c r="E11" s="192" t="s">
        <v>240</v>
      </c>
      <c r="F11" s="192" t="s">
        <v>480</v>
      </c>
      <c r="G11" s="192" t="s">
        <v>1630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1633</v>
      </c>
      <c r="D5" s="274"/>
      <c r="E5" s="274"/>
      <c r="F5" s="274"/>
      <c r="G5" s="274"/>
      <c r="H5" s="274"/>
      <c r="I5" s="274"/>
      <c r="J5" s="275"/>
      <c r="K5" s="276" t="s">
        <v>1634</v>
      </c>
      <c r="L5" s="277"/>
      <c r="M5" s="277"/>
      <c r="N5" s="277"/>
      <c r="O5" s="278" t="s">
        <v>1635</v>
      </c>
      <c r="P5" s="279"/>
      <c r="Q5" s="280"/>
    </row>
    <row r="6" spans="1:17" s="81" customFormat="1" ht="15.75" customHeight="1">
      <c r="A6" s="75" t="s">
        <v>1609</v>
      </c>
      <c r="B6" s="82" t="s">
        <v>1608</v>
      </c>
      <c r="C6" s="83" t="s">
        <v>1211</v>
      </c>
      <c r="D6" s="84" t="s">
        <v>1212</v>
      </c>
      <c r="E6" s="83" t="s">
        <v>1636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1637</v>
      </c>
      <c r="M6" s="116" t="s">
        <v>29</v>
      </c>
      <c r="N6" s="117" t="s">
        <v>1206</v>
      </c>
      <c r="O6" s="165" t="s">
        <v>1249</v>
      </c>
      <c r="P6" s="128"/>
      <c r="Q6" s="139" t="s">
        <v>1638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 hidden="1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 hidden="1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 hidden="1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 hidden="1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 hidden="1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 hidden="1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 hidden="1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 hidden="1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 hidden="1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659.976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659.976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Oportunidade</v>
      </c>
      <c r="C180" s="87" t="str">
        <f>IF(FN_MC!S162="","*",FN_MC!S162)</f>
        <v>FERRONORTE</v>
      </c>
      <c r="D180" s="87" t="str">
        <f>IF(FN_MC!T162="","*",FN_MC!T162)</f>
        <v>TGR-TRO</v>
      </c>
      <c r="E180" s="87" t="str">
        <f>IF(FN_MC!D162="","*",FN_MC!D162)</f>
        <v>V86</v>
      </c>
      <c r="F180" s="87" t="str">
        <f>IF(FN_MC!H162="","*",FN_MC!H162)</f>
        <v>TIQ</v>
      </c>
      <c r="G180" s="87" t="str">
        <f>IF(FN_MC!M162="","*",FN_MC!M162)</f>
        <v>TBS</v>
      </c>
      <c r="H180" s="125">
        <f>IF(FN_MC!K162="","*",FN_MC!K162)</f>
        <v>659.976</v>
      </c>
      <c r="I180" s="110">
        <f>IF(FN_MC!O162="","*",FN_MC!O162)</f>
        <v>0.4375</v>
      </c>
      <c r="J180" s="110">
        <f>IF(FN_MC!P162="","*",FN_MC!P162)</f>
        <v>0.125</v>
      </c>
      <c r="K180" s="118" t="str">
        <f>IF(FN_MC!AK162="","*",FN_MC!AK162)</f>
        <v>TIQ</v>
      </c>
      <c r="L180" s="118" t="str">
        <f>IF(FN_MC!AM162="","*",FN_MC!AM162)</f>
        <v>TBS</v>
      </c>
      <c r="M180" s="118">
        <f>IF(FN_MC!AP162="","*",FN_MC!AP162)</f>
        <v>659.976</v>
      </c>
      <c r="N180" s="118" t="str">
        <f>IF(FN_MC!AM162="","*",FN_MC!AM162)</f>
        <v>TBS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Oportunidade</v>
      </c>
      <c r="C189" s="87" t="str">
        <f>IF(FN_MC!S171="","*",FN_MC!S171)</f>
        <v>FERRONORTE</v>
      </c>
      <c r="D189" s="87" t="str">
        <f>IF(FN_MC!T171="","*",FN_MC!T171)</f>
        <v>TCS-TGR</v>
      </c>
      <c r="E189" s="87" t="str">
        <f>IF(FN_MC!D171="","*",FN_MC!D171)</f>
        <v>V48</v>
      </c>
      <c r="F189" s="87" t="str">
        <f>IF(FN_MC!H171="","*",FN_MC!H171)</f>
        <v>ZSF</v>
      </c>
      <c r="G189" s="87" t="str">
        <f>IF(FN_MC!M171="","*",FN_MC!M171)</f>
        <v>ZSF-TVI</v>
      </c>
      <c r="H189" s="125">
        <f>IF(FN_MC!K171="","*",FN_MC!K171)</f>
        <v>421</v>
      </c>
      <c r="I189" s="110">
        <f>IF(FN_MC!O171="","*",FN_MC!O171)</f>
        <v>0.375</v>
      </c>
      <c r="J189" s="110">
        <f>IF(FN_MC!P171="","*",FN_MC!P171)</f>
        <v>4.1666666666666664E-2</v>
      </c>
      <c r="K189" s="118" t="str">
        <f>IF(FN_MC!AK171="","*",FN_MC!AK171)</f>
        <v>ZSF</v>
      </c>
      <c r="L189" s="118" t="str">
        <f>IF(FN_MC!AM171="","*",FN_MC!AM171)</f>
        <v>ZSF-TVI</v>
      </c>
      <c r="M189" s="118">
        <f>IF(FN_MC!AP171="","*",FN_MC!AP171)</f>
        <v>421</v>
      </c>
      <c r="N189" s="118" t="str">
        <f>IF(FN_MC!AM171="","*",FN_MC!AM171)</f>
        <v>ZSF-TVI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Oportunidade</v>
      </c>
      <c r="C190" s="87" t="str">
        <f>IF(FN_MC!S172="","*",FN_MC!S172)</f>
        <v>FERRONORTE</v>
      </c>
      <c r="D190" s="87" t="str">
        <f>IF(FN_MC!T172="","*",FN_MC!T172)</f>
        <v>TMI-TCS</v>
      </c>
      <c r="E190" s="87" t="str">
        <f>IF(FN_MC!D172="","*",FN_MC!D172)</f>
        <v>MARCOS (TF-520)</v>
      </c>
      <c r="F190" s="87" t="str">
        <f>IF(FN_MC!H172="","*",FN_MC!H172)</f>
        <v>TMO1</v>
      </c>
      <c r="G190" s="87" t="str">
        <f>IF(FN_MC!M172="","*",FN_MC!M172)</f>
        <v>TMO</v>
      </c>
      <c r="H190" s="125">
        <f>IF(FN_MC!K172="","*",FN_MC!K172)</f>
        <v>143.35</v>
      </c>
      <c r="I190" s="110">
        <f>IF(FN_MC!O172="","*",FN_MC!O172)</f>
        <v>0.375</v>
      </c>
      <c r="J190" s="110">
        <f>IF(FN_MC!P172="","*",FN_MC!P172)</f>
        <v>8.3333333333333329E-2</v>
      </c>
      <c r="K190" s="118" t="str">
        <f>IF(FN_MC!AK172="","*",FN_MC!AK172)</f>
        <v>TMO1</v>
      </c>
      <c r="L190" s="118" t="str">
        <f>IF(FN_MC!AM172="","*",FN_MC!AM172)</f>
        <v>TMO</v>
      </c>
      <c r="M190" s="118">
        <f>IF(FN_MC!AP172="","*",FN_MC!AP172)</f>
        <v>143.35</v>
      </c>
      <c r="N190" s="118" t="str">
        <f>IF(FN_MC!AM172="","*",FN_MC!AM172)</f>
        <v>TMO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>
        <f>IF(FN_MC!B173="","*",FN_MC!B173)</f>
        <v>46069</v>
      </c>
      <c r="B191" s="86" t="str">
        <f>IF(FN_MC!X173="","*",FN_MC!X173)</f>
        <v>Oportunidade</v>
      </c>
      <c r="C191" s="87" t="str">
        <f>IF(FN_MC!S173="","*",FN_MC!S173)</f>
        <v>FERRONORTE</v>
      </c>
      <c r="D191" s="87" t="str">
        <f>IF(FN_MC!T173="","*",FN_MC!T173)</f>
        <v>TMI-TCS</v>
      </c>
      <c r="E191" s="87" t="str">
        <f>IF(FN_MC!D173="","*",FN_MC!D173)</f>
        <v>W48</v>
      </c>
      <c r="F191" s="87" t="str">
        <f>IF(FN_MC!H173="","*",FN_MC!H173)</f>
        <v>TAP</v>
      </c>
      <c r="G191" s="87" t="str">
        <f>IF(FN_MC!M173="","*",FN_MC!M173)</f>
        <v>TAP-TIN</v>
      </c>
      <c r="H191" s="125">
        <f>IF(FN_MC!K173="","*",FN_MC!K173)</f>
        <v>24.84</v>
      </c>
      <c r="I191" s="110">
        <f>IF(FN_MC!O173="","*",FN_MC!O173)</f>
        <v>0.375</v>
      </c>
      <c r="J191" s="110">
        <f>IF(FN_MC!P173="","*",FN_MC!P173)</f>
        <v>4.1666666666666664E-2</v>
      </c>
      <c r="K191" s="118" t="str">
        <f>IF(FN_MC!AK173="","*",FN_MC!AK173)</f>
        <v>TAP</v>
      </c>
      <c r="L191" s="118" t="str">
        <f>IF(FN_MC!AM173="","*",FN_MC!AM173)</f>
        <v>TAP-TIN</v>
      </c>
      <c r="M191" s="118">
        <f>IF(FN_MC!AP173="","*",FN_MC!AP173)</f>
        <v>24.84</v>
      </c>
      <c r="N191" s="118" t="str">
        <f>IF(FN_MC!AM173="","*",FN_MC!AM173)</f>
        <v>TAP-TIN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>
        <f>IF(FN_MC!B174="","*",FN_MC!B174)</f>
        <v>46069</v>
      </c>
      <c r="B192" s="86" t="str">
        <f>IF(FN_MC!X174="","*",FN_MC!X174)</f>
        <v>Oportunidade</v>
      </c>
      <c r="C192" s="87" t="str">
        <f>IF(FN_MC!S174="","*",FN_MC!S174)</f>
        <v>MALHA CENTRAL</v>
      </c>
      <c r="D192" s="87" t="str">
        <f>IF(FN_MC!T174="","*",FN_MC!T174)</f>
        <v>RAMAL</v>
      </c>
      <c r="E192" s="87" t="str">
        <f>IF(FN_MC!D174="","*",FN_MC!D174)</f>
        <v>V97</v>
      </c>
      <c r="F192" s="87" t="str">
        <f>IF(FN_MC!H174="","*",FN_MC!H174)</f>
        <v>ZIQ</v>
      </c>
      <c r="G192" s="87" t="str">
        <f>IF(FN_MC!M174="","*",FN_MC!M174)</f>
        <v>ZIQ-ZQY</v>
      </c>
      <c r="H192" s="125">
        <f>IF(FN_MC!K174="","*",FN_MC!K174)</f>
        <v>180</v>
      </c>
      <c r="I192" s="110">
        <f>IF(FN_MC!O174="","*",FN_MC!O174)</f>
        <v>0.375</v>
      </c>
      <c r="J192" s="110">
        <f>IF(FN_MC!P174="","*",FN_MC!P174)</f>
        <v>4.1666666666666664E-2</v>
      </c>
      <c r="K192" s="118" t="str">
        <f>IF(FN_MC!AK174="","*",FN_MC!AK174)</f>
        <v>ZIQ</v>
      </c>
      <c r="L192" s="118" t="str">
        <f>IF(FN_MC!AM174="","*",FN_MC!AM174)</f>
        <v>ZIQ-ZQY</v>
      </c>
      <c r="M192" s="118">
        <f>IF(FN_MC!AP174="","*",FN_MC!AP174)</f>
        <v>180</v>
      </c>
      <c r="N192" s="118" t="str">
        <f>IF(FN_MC!AM174="","*",FN_MC!AM174)</f>
        <v>ZIQ-ZQY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2026-02-15T14:16:24Z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