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769" documentId="8_{B6337239-1A00-434D-AAD0-422EA1FEB5AE}" xr6:coauthVersionLast="47" xr6:coauthVersionMax="47" xr10:uidLastSave="{71393F50-783B-4840-938C-5DA5B7E512D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48" i="1" l="1" a="1"/>
  <c r="N248" i="1" s="1"/>
  <c r="M248" i="1" a="1"/>
  <c r="M248" i="1" s="1"/>
  <c r="A225" i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R231" i="16" s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K253" i="16"/>
  <c r="L253" i="16"/>
  <c r="R248" i="1"/>
  <c r="R253" i="16" s="1"/>
  <c r="S248" i="1" a="1"/>
  <c r="S248" i="1" s="1"/>
  <c r="D253" i="16" s="1"/>
  <c r="T248" i="1" a="1"/>
  <c r="T248" i="1" s="1"/>
  <c r="E253" i="16" s="1"/>
  <c r="AI248" i="1"/>
  <c r="BB248" i="1" s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R261" i="16" s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K262" i="16"/>
  <c r="L262" i="16"/>
  <c r="R257" i="1"/>
  <c r="R262" i="16" s="1"/>
  <c r="S257" i="1" a="1"/>
  <c r="S257" i="1" s="1"/>
  <c r="D262" i="16" s="1"/>
  <c r="T257" i="1" a="1"/>
  <c r="T257" i="1" s="1"/>
  <c r="E262" i="16" s="1"/>
  <c r="AI257" i="1"/>
  <c r="BB257" i="1" s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R266" i="16" s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R269" i="16" s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R271" i="16" s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R272" i="16" s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R273" i="16" s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R275" i="16" s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R276" i="16" s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R277" i="16" s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R281" i="16" s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R283" i="16" s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57" i="1" l="1"/>
  <c r="AJ248" i="1"/>
  <c r="AJ267" i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<sst xmlns="http://schemas.openxmlformats.org/spreadsheetml/2006/main" count="7147" uniqueCount="1815">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</sst>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G248" activePane="topRight" state="frozen"/>
      <selection pane="topRight" activeCell="J273" sqref="J2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1731</v>
      </c>
      <c r="BK232" s="14" t="s">
        <v>1732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640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1733</v>
      </c>
      <c r="BK233" s="14" t="s">
        <v>1733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1733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1734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1735</v>
      </c>
      <c r="BK234" s="14" t="s">
        <v>1736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640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1737</v>
      </c>
      <c r="BK235" s="14" t="s">
        <v>1738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640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1739</v>
      </c>
      <c r="BK237" s="14" t="s">
        <v>1739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1739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1740</v>
      </c>
      <c r="BK239" s="14" t="s">
        <v>1741</v>
      </c>
      <c r="BL239" s="13"/>
      <c r="BM239" s="12" t="s">
        <v>1017</v>
      </c>
      <c r="BN239" s="12" t="s">
        <v>1040</v>
      </c>
      <c r="BO239" s="130" t="s">
        <v>1105</v>
      </c>
      <c r="BP239" s="14" t="s">
        <v>1741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TISistema</v>
      </c>
    </row>
    <row r="240" spans="1:72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4.1666666666666664E-2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1742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>
        <v>0.48888888888888887</v>
      </c>
      <c r="AS241" s="32">
        <v>0.52638888888888891</v>
      </c>
      <c r="AT241" s="32">
        <v>0.56805555555555554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4.166666666666663E-2</v>
      </c>
      <c r="AZ241" s="11"/>
      <c r="BA241" s="60">
        <v>100</v>
      </c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>
        <v>2</v>
      </c>
      <c r="BI241" s="14"/>
      <c r="BJ241" s="14" t="s">
        <v>1743</v>
      </c>
      <c r="BK241" s="14" t="s">
        <v>1744</v>
      </c>
      <c r="BL241" s="13"/>
      <c r="BM241" s="12" t="s">
        <v>1030</v>
      </c>
      <c r="BN241" s="12" t="s">
        <v>1030</v>
      </c>
      <c r="BO241" s="130" t="s">
        <v>1030</v>
      </c>
      <c r="BP241" s="14" t="s">
        <v>640</v>
      </c>
      <c r="BQ241" s="10" t="str">
        <f t="shared" si="28"/>
        <v>Intervalo</v>
      </c>
      <c r="BR241" s="15">
        <f t="shared" si="29"/>
        <v>0.99999999999999911</v>
      </c>
      <c r="BS241" s="15">
        <f t="shared" si="30"/>
        <v>1</v>
      </c>
      <c r="BT241" s="231" t="str">
        <f t="shared" si="31"/>
        <v>OKOK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>
        <v>0</v>
      </c>
      <c r="BI244" s="14"/>
      <c r="BJ244" s="14" t="s">
        <v>1745</v>
      </c>
      <c r="BK244" s="14" t="s">
        <v>1746</v>
      </c>
      <c r="BL244" s="13"/>
      <c r="BM244" s="12" t="s">
        <v>1025</v>
      </c>
      <c r="BN244" s="12" t="s">
        <v>1055</v>
      </c>
      <c r="BO244" s="130" t="s">
        <v>1036</v>
      </c>
      <c r="BP244" s="14" t="s">
        <v>1746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1747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>
        <v>0.36805555555555558</v>
      </c>
      <c r="AS247" s="32">
        <v>0</v>
      </c>
      <c r="AT247" s="32">
        <v>0</v>
      </c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>
        <v>0</v>
      </c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>
        <v>0</v>
      </c>
      <c r="BI247" s="14"/>
      <c r="BJ247" s="14" t="s">
        <v>1748</v>
      </c>
      <c r="BK247" s="14" t="s">
        <v>1749</v>
      </c>
      <c r="BL247" s="13"/>
      <c r="BM247" s="12" t="s">
        <v>1025</v>
      </c>
      <c r="BN247" s="12" t="s">
        <v>1055</v>
      </c>
      <c r="BO247" s="130" t="s">
        <v>1117</v>
      </c>
      <c r="BP247" s="14" t="s">
        <v>1749</v>
      </c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>CCOCirculaçãoIntervaloOportunidade</v>
      </c>
    </row>
    <row r="248" spans="1:72" ht="69" customHeight="1">
      <c r="A248" s="44" t="str">
        <f t="shared" si="27"/>
        <v>E1446074</v>
      </c>
      <c r="B248" s="132">
        <v>46074</v>
      </c>
      <c r="C248" s="7">
        <f>IF(BS_CONTROLE[[#This Row],[DATA]]="","",WEEKNUM(BS_CONTROLE[[#This Row],[DATA]]))</f>
        <v>8</v>
      </c>
      <c r="D248" s="45" t="s">
        <v>778</v>
      </c>
      <c r="E248" s="175">
        <v>264</v>
      </c>
      <c r="F248" s="133" t="s">
        <v>736</v>
      </c>
      <c r="G248" s="8" t="str">
        <f>IF(D248="","*",VLOOKUP(F248,BS_ATIVIDADE[#All],3,FALSE))</f>
        <v>MECANIZAÇÃO - ESMERILHADORA</v>
      </c>
      <c r="H248" s="134" t="s">
        <v>565</v>
      </c>
      <c r="I248" s="134" t="s">
        <v>598</v>
      </c>
      <c r="J248" s="150">
        <v>103</v>
      </c>
      <c r="K248" s="150">
        <v>1806</v>
      </c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8" s="134">
        <v>0.99930555555555556</v>
      </c>
      <c r="P248" s="134">
        <v>4.1666666666666664E-2</v>
      </c>
      <c r="Q248" s="71">
        <v>20000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8" s="188" t="str">
        <f>IFERROR(_xlfn.XLOOKUP(J248, BASE_MAPA!$B$2:$B$420, BASE_MAPA!$G$2:$G$420), "ERRO")</f>
        <v>OURO VERDE - LIGAÇÃO</v>
      </c>
      <c r="V248" s="142" t="s">
        <v>1445</v>
      </c>
      <c r="W248" s="220" t="s">
        <v>1727</v>
      </c>
      <c r="X248" s="151" t="s">
        <v>1005</v>
      </c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MECANIZAÇÃO - ESMERILHADORA</v>
      </c>
      <c r="AJ248" s="8" t="str">
        <f>IF(D248="","*",VLOOKUP(AI248,BS_ATIVIDADE[#Data],3,FALSE))</f>
        <v>MECANIZAÇÃO - ESMERILHADORA</v>
      </c>
      <c r="AK248" s="166" t="str">
        <f>IF(BS_CONTROLE[[#This Row],[Local - Partida]]=0, "-", BS_CONTROLE[[#This Row],[Local - Partida]])</f>
        <v>PSG2</v>
      </c>
      <c r="AL248" s="166" t="str">
        <f>IF(BS_CONTROLE[[#This Row],[Local - Encerramento]]=0, "-", BS_CONTROLE[[#This Row],[Local - Encerramento]])</f>
        <v>PSS</v>
      </c>
      <c r="AM248" s="166" t="str">
        <f>IF(BS_CONTROLE[[#This Row],[Entre - Estações]]=0, "-", BS_CONTROLE[[#This Row],[Entre - Estações]])</f>
        <v>PSG</v>
      </c>
      <c r="AN248" s="166" t="str">
        <f>IF(BS_CONTROLE[[#This Row],[SB]]=0, "-", BS_CONTROLE[[#This Row],[SB]])</f>
        <v>PSG1</v>
      </c>
      <c r="AO248" s="167">
        <f>IF(BS_CONTROLE[[#This Row],[SUB]]=0, "-", BS_CONTROLE[[#This Row],[SUB]])</f>
        <v>103</v>
      </c>
      <c r="AP248" s="168">
        <f>IF(BS_CONTROLE[[#This Row],[KM - Inicio]]=0, "-", BS_CONTROLE[[#This Row],[KM - Inicio]])</f>
        <v>1806</v>
      </c>
      <c r="AQ248" s="168" t="str">
        <f>IF(BS_CONTROLE[[#This Row],[KM - Fim]]=0, "-", BS_CONTROLE[[#This Row],[KM - Fim]])</f>
        <v>-</v>
      </c>
      <c r="AR248" s="32">
        <v>0.96736111111111112</v>
      </c>
      <c r="AS248" s="32">
        <v>0</v>
      </c>
      <c r="AT248" s="32">
        <v>6.9444444444444447E-4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6.9444444444444447E-4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8" s="189" t="str">
        <f>IFERROR(_xlfn.XLOOKUP(AO248, BASE_MAPA!$B$2:$B$420, BASE_MAPA!$G$2:$G$420), "ERRO")</f>
        <v>OURO VERDE - LIGAÇÃO</v>
      </c>
      <c r="BF248" s="169" t="str">
        <f>IF(BS_CONTROLE[[#This Row],[Responsavel pelo boletim]]=0, "-", BS_CONTROLE[[#This Row],[Responsavel pelo boletim]])</f>
        <v>Fernanda</v>
      </c>
      <c r="BG248" s="13"/>
      <c r="BH248" s="14">
        <v>0</v>
      </c>
      <c r="BI248" s="14"/>
      <c r="BJ248" s="14" t="s">
        <v>1750</v>
      </c>
      <c r="BK248" s="14" t="s">
        <v>1751</v>
      </c>
      <c r="BL248" s="13"/>
      <c r="BM248" s="12" t="s">
        <v>1022</v>
      </c>
      <c r="BN248" s="12" t="s">
        <v>1043</v>
      </c>
      <c r="BO248" s="130" t="s">
        <v>1161</v>
      </c>
      <c r="BP248" s="14" t="s">
        <v>1751</v>
      </c>
      <c r="BQ248" s="10" t="str">
        <f t="shared" si="28"/>
        <v>Produção e Intervalo</v>
      </c>
      <c r="BR248" s="15">
        <f t="shared" si="29"/>
        <v>1.666666666666667E-2</v>
      </c>
      <c r="BS248" s="15">
        <f t="shared" si="30"/>
        <v>0</v>
      </c>
      <c r="BT248" s="231" t="str">
        <f t="shared" si="31"/>
        <v>MecanizaçãoOperação</v>
      </c>
    </row>
    <row r="249" spans="1:72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>
        <v>0</v>
      </c>
      <c r="BI253" s="14"/>
      <c r="BJ253" s="14" t="s">
        <v>1752</v>
      </c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>
        <v>0</v>
      </c>
      <c r="BI256" s="14"/>
      <c r="BJ256" s="14" t="s">
        <v>1752</v>
      </c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>
      <c r="A257" s="44" t="str">
        <f t="shared" si="27"/>
        <v>E1446075</v>
      </c>
      <c r="B257" s="132">
        <v>46075</v>
      </c>
      <c r="C257" s="7">
        <f>IF(BS_CONTROLE[[#This Row],[DATA]]="","",WEEKNUM(BS_CONTROLE[[#This Row],[DATA]]))</f>
        <v>9</v>
      </c>
      <c r="D257" s="45" t="s">
        <v>778</v>
      </c>
      <c r="E257" s="175">
        <v>264</v>
      </c>
      <c r="F257" s="133" t="s">
        <v>736</v>
      </c>
      <c r="G257" s="8" t="str">
        <f>IF(D257="","*",VLOOKUP(F257,BS_ATIVIDADE[#All],3,FALSE))</f>
        <v>MECANIZAÇÃO - ESMERILHADORA</v>
      </c>
      <c r="H257" s="134" t="s">
        <v>598</v>
      </c>
      <c r="I257" s="134" t="s">
        <v>598</v>
      </c>
      <c r="J257" s="150">
        <v>103</v>
      </c>
      <c r="K257" s="150">
        <v>1935</v>
      </c>
      <c r="L257" s="71">
        <v>1965</v>
      </c>
      <c r="M257" s="148" t="s">
        <v>588</v>
      </c>
      <c r="N257" s="148" t="s">
        <v>1753</v>
      </c>
      <c r="O257" s="134">
        <v>0.95833333333333337</v>
      </c>
      <c r="P257" s="134">
        <v>4.1666666666666664E-2</v>
      </c>
      <c r="Q257" s="71">
        <v>2000</v>
      </c>
      <c r="R257" s="9" t="str">
        <f>IFERROR(_xlfn.XLOOKUP(F257, BS_ATIVIDADE[ATIVIDADE],BS_ATIVIDADE[UNIDADE] ), "*")</f>
        <v>M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7" s="188" t="str">
        <f>IFERROR(_xlfn.XLOOKUP(J257, BASE_MAPA!$B$2:$B$420, BASE_MAPA!$G$2:$G$420), "ERRO")</f>
        <v>OURO VERDE - LIGAÇÃO</v>
      </c>
      <c r="V257" s="142" t="s">
        <v>1445</v>
      </c>
      <c r="W257" s="134" t="s">
        <v>1754</v>
      </c>
      <c r="X257" s="151" t="s">
        <v>1005</v>
      </c>
      <c r="Y257" s="129"/>
      <c r="Z257" s="129"/>
      <c r="AA257" s="71">
        <v>1</v>
      </c>
      <c r="AB257" s="59" t="s">
        <v>997</v>
      </c>
      <c r="AC257" s="59"/>
      <c r="AD257" s="134">
        <v>0.95833333333333337</v>
      </c>
      <c r="AE257" s="71"/>
      <c r="AF257" s="71"/>
      <c r="AG257" s="71"/>
      <c r="AH257" s="42"/>
      <c r="AI257" s="119" t="str">
        <f>IF(BS_CONTROLE[[#This Row],[Atividade]]=0, "-", BS_CONTROLE[[#This Row],[Atividade]])</f>
        <v>MECANIZAÇÃO - ESMERILHADORA</v>
      </c>
      <c r="AJ257" s="8" t="str">
        <f>IF(D257="","*",VLOOKUP(AI257,BS_ATIVIDADE[#Data],3,FALSE))</f>
        <v>MECANIZAÇÃO - ESMERILHADORA</v>
      </c>
      <c r="AK257" s="166" t="str">
        <f>IF(BS_CONTROLE[[#This Row],[Local - Partida]]=0, "-", BS_CONTROLE[[#This Row],[Local - Partida]])</f>
        <v>PSS</v>
      </c>
      <c r="AL257" s="166" t="str">
        <f>IF(BS_CONTROLE[[#This Row],[Local - Encerramento]]=0, "-", BS_CONTROLE[[#This Row],[Local - Encerramento]])</f>
        <v>PSS</v>
      </c>
      <c r="AM257" s="166" t="str">
        <f>IF(BS_CONTROLE[[#This Row],[Entre - Estações]]=0, "-", BS_CONTROLE[[#This Row],[Entre - Estações]])</f>
        <v>PQI-PPR</v>
      </c>
      <c r="AN257" s="166" t="str">
        <f>IF(BS_CONTROLE[[#This Row],[SB]]=0, "-", BS_CONTROLE[[#This Row],[SB]])</f>
        <v>PQIPPR</v>
      </c>
      <c r="AO257" s="167">
        <f>IF(BS_CONTROLE[[#This Row],[SUB]]=0, "-", BS_CONTROLE[[#This Row],[SUB]])</f>
        <v>103</v>
      </c>
      <c r="AP257" s="168">
        <f>IF(BS_CONTROLE[[#This Row],[KM - Inicio]]=0, "-", BS_CONTROLE[[#This Row],[KM - Inicio]])</f>
        <v>1935</v>
      </c>
      <c r="AQ257" s="168">
        <f>IF(BS_CONTROLE[[#This Row],[KM - Fim]]=0, "-", BS_CONTROLE[[#This Row],[KM - Fim]])</f>
        <v>1965</v>
      </c>
      <c r="AR257" s="32"/>
      <c r="AS257" s="32"/>
      <c r="AT257" s="32"/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0</v>
      </c>
      <c r="AZ257" s="11"/>
      <c r="BA257" s="60"/>
      <c r="BB257" s="9" t="str">
        <f>IFERROR(_xlfn.XLOOKUP(AI257, BS_ATIVIDADE[ATIVIDADE],BS_ATIVIDADE[UNIDADE] ), "*")</f>
        <v>M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7" s="189" t="str">
        <f>IFERROR(_xlfn.XLOOKUP(AO257, BASE_MAPA!$B$2:$B$420, BASE_MAPA!$G$2:$G$420), "ERRO")</f>
        <v>OURO VERDE - LIGAÇÃO</v>
      </c>
      <c r="BF257" s="169" t="str">
        <f>IF(BS_CONTROLE[[#This Row],[Responsavel pelo boletim]]=0, "-", BS_CONTROLE[[#This Row],[Responsavel pelo boletim]])</f>
        <v>Fernanda</v>
      </c>
      <c r="BG257" s="13"/>
      <c r="BH257" s="14"/>
      <c r="BI257" s="14"/>
      <c r="BJ257" s="14" t="s">
        <v>1755</v>
      </c>
      <c r="BK257" s="14"/>
      <c r="BL257" s="13"/>
      <c r="BM257" s="12"/>
      <c r="BN257" s="12"/>
      <c r="BO257" s="130"/>
      <c r="BP257" s="14"/>
      <c r="BQ257" s="10" t="str">
        <f t="shared" si="28"/>
        <v>Produção e Intervalo</v>
      </c>
      <c r="BR257" s="15">
        <f t="shared" si="29"/>
        <v>0</v>
      </c>
      <c r="BS257" s="15">
        <f t="shared" si="30"/>
        <v>0</v>
      </c>
      <c r="BT257" s="231" t="str">
        <f t="shared" si="31"/>
        <v/>
      </c>
    </row>
    <row r="258" spans="1:72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546.24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64" s="134">
        <v>0.375</v>
      </c>
      <c r="P264" s="134">
        <v>6.25E-2</v>
      </c>
      <c r="Q264" s="71">
        <v>1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TBE-TRM</v>
      </c>
      <c r="AN264" s="166" t="str">
        <f>IF(BS_CONTROLE[[#This Row],[SB]]=0, "-", BS_CONTROLE[[#This Row],[SB]])</f>
        <v>539TRM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546.24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1756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1757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1757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 t="s">
        <v>23</v>
      </c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1742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TAP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1758</v>
      </c>
      <c r="X276" s="151" t="s">
        <v>1005</v>
      </c>
      <c r="Y276" s="129"/>
      <c r="Z276" s="129"/>
      <c r="AA276" s="71" t="s">
        <v>1759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1760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1761</v>
      </c>
      <c r="E3" s="176" t="s">
        <v>1762</v>
      </c>
      <c r="F3" s="176" t="s">
        <v>1763</v>
      </c>
      <c r="G3" s="176" t="s">
        <v>1764</v>
      </c>
      <c r="H3" s="176" t="s">
        <v>1765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1766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1767</v>
      </c>
      <c r="D12" s="177">
        <v>9049</v>
      </c>
      <c r="E12" s="178">
        <v>46044</v>
      </c>
      <c r="F12" s="180" t="s">
        <v>1768</v>
      </c>
      <c r="G12" s="177" t="s">
        <v>1769</v>
      </c>
      <c r="H12" s="177"/>
    </row>
    <row r="13" spans="3:8">
      <c r="C13" s="177" t="s">
        <v>1767</v>
      </c>
      <c r="D13" s="177">
        <v>9044</v>
      </c>
      <c r="E13" s="178">
        <v>46044</v>
      </c>
      <c r="F13" s="180" t="s">
        <v>1770</v>
      </c>
      <c r="G13" s="177" t="s">
        <v>1771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1772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1772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B258" sqref="B258:T262"/>
    </sheetView>
  </sheetViews>
  <sheetFormatPr defaultRowHeight="15"/>
  <cols>
    <col min="1" max="1" width="14.7109375" customWidth="1"/>
    <col min="2" max="2" width="18.28515625" customWidth="1"/>
    <col min="3" max="3" width="14.5703125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1773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1774</v>
      </c>
      <c r="B3" s="91" t="s">
        <v>1775</v>
      </c>
      <c r="C3" s="91" t="s">
        <v>636</v>
      </c>
      <c r="D3" s="92" t="s">
        <v>1212</v>
      </c>
      <c r="E3" s="92" t="s">
        <v>4</v>
      </c>
      <c r="F3" s="92" t="s">
        <v>1776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1777</v>
      </c>
      <c r="T3" s="94" t="s">
        <v>1215</v>
      </c>
      <c r="U3" s="90">
        <f ca="1">TODAY()-1</f>
        <v>46074</v>
      </c>
      <c r="V3" s="90">
        <f ca="1">U3-1</f>
        <v>46073</v>
      </c>
      <c r="W3" s="90">
        <f ca="1">V3-1</f>
        <v>46072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16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2700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16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>
        <f ca="1">_xlfn.XLOOKUP(G9&amp;$W$3,BS_CONTROLE[CHAVE],BS_CONTROLE[Quantidade_11],"-")</f>
        <v>0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2700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16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>
        <f ca="1">_xlfn.XLOOKUP(G17&amp;$W$3,BS_CONTROLE[CHAVE],BS_CONTROLE[Quantidade_11],"-")</f>
        <v>0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100</v>
      </c>
      <c r="V22" s="98">
        <f ca="1">_xlfn.XLOOKUP(G22&amp;$V$3,BS_CONTROLE[CHAVE],BS_CONTROLE[Quantidade_11],"-")</f>
        <v>0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2700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16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100</v>
      </c>
      <c r="V34" s="98">
        <f ca="1">_xlfn.XLOOKUP(G34&amp;$V$3,BS_CONTROLE[CHAVE],BS_CONTROLE[Quantidade_11],"-")</f>
        <v>0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63</v>
      </c>
      <c r="W35" s="98">
        <f ca="1">_xlfn.XLOOKUP(G35&amp;$W$3,BS_CONTROLE[CHAVE],BS_CONTROLE[Quantidade_11],"-")</f>
        <v>116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9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2700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16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100</v>
      </c>
      <c r="V47" s="98">
        <f ca="1">_xlfn.XLOOKUP(G47&amp;$V$3,BS_CONTROLE[CHAVE],BS_CONTROLE[Quantidade_11],"-")</f>
        <v>0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63</v>
      </c>
      <c r="W48" s="98">
        <f ca="1">_xlfn.XLOOKUP(G48&amp;$W$3,BS_CONTROLE[CHAVE],BS_CONTROLE[Quantidade_11],"-")</f>
        <v>116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2700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16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63</v>
      </c>
      <c r="W57" s="98">
        <f ca="1">_xlfn.XLOOKUP(G57&amp;$W$3,BS_CONTROLE[CHAVE],BS_CONTROLE[Quantidade_11],"-")</f>
        <v>116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100</v>
      </c>
      <c r="V59" s="98">
        <f ca="1">_xlfn.XLOOKUP(G59&amp;$V$3,BS_CONTROLE[CHAVE],BS_CONTROLE[Quantidade_11],"-")</f>
        <v>0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2700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2700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2700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16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63</v>
      </c>
      <c r="W75" s="98">
        <f ca="1">_xlfn.XLOOKUP(G75&amp;$W$3,BS_CONTROLE[CHAVE],BS_CONTROLE[Quantidade_11],"-")</f>
        <v>116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100</v>
      </c>
      <c r="V77" s="98">
        <f ca="1">_xlfn.XLOOKUP(G77&amp;$V$3,BS_CONTROLE[CHAVE],BS_CONTROLE[Quantidade_11],"-")</f>
        <v>0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9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2700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16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100</v>
      </c>
      <c r="V90" s="98">
        <f ca="1">_xlfn.XLOOKUP(G90&amp;$V$3,BS_CONTROLE[CHAVE],BS_CONTROLE[Quantidade_11],"-")</f>
        <v>0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63</v>
      </c>
      <c r="W96" s="98">
        <f ca="1">_xlfn.XLOOKUP(G96&amp;$W$3,BS_CONTROLE[CHAVE],BS_CONTROLE[Quantidade_11],"-")</f>
        <v>116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2700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16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63</v>
      </c>
      <c r="W105" s="98">
        <f ca="1">_xlfn.XLOOKUP(G105&amp;$W$3,BS_CONTROLE[CHAVE],BS_CONTROLE[Quantidade_11],"-")</f>
        <v>116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100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9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2700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16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63</v>
      </c>
      <c r="W119" s="98">
        <f ca="1">_xlfn.XLOOKUP(G119&amp;$W$3,BS_CONTROLE[CHAVE],BS_CONTROLE[Quantidade_11],"-")</f>
        <v>116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100</v>
      </c>
      <c r="V120" s="98">
        <f ca="1">_xlfn.XLOOKUP(G120&amp;$V$3,BS_CONTROLE[CHAVE],BS_CONTROLE[Quantidade_11],"-")</f>
        <v>0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2700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20</v>
      </c>
      <c r="V131" s="98">
        <f ca="1">_xlfn.XLOOKUP(G131&amp;$V$3,BS_CONTROLE[CHAVE],BS_CONTROLE[Quantidade_11],"-")</f>
        <v>16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100</v>
      </c>
      <c r="V134" s="98">
        <f ca="1">_xlfn.XLOOKUP(G134&amp;$V$3,BS_CONTROLE[CHAVE],BS_CONTROLE[Quantidade_11],"-")</f>
        <v>0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2700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20</v>
      </c>
      <c r="V144" s="98">
        <f ca="1">_xlfn.XLOOKUP(G144&amp;$V$3,BS_CONTROLE[CHAVE],BS_CONTROLE[Quantidade_11],"-")</f>
        <v>16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2700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2700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20</v>
      </c>
      <c r="V153" s="98">
        <f ca="1">_xlfn.XLOOKUP(G153&amp;$V$3,BS_CONTROLE[CHAVE],BS_CONTROLE[Quantidade_11],"-")</f>
        <v>16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63</v>
      </c>
      <c r="W155" s="98">
        <f ca="1">_xlfn.XLOOKUP(G155&amp;$W$3,BS_CONTROLE[CHAVE],BS_CONTROLE[Quantidade_11],"-")</f>
        <v>116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100</v>
      </c>
      <c r="V156" s="98">
        <f ca="1">_xlfn.XLOOKUP(G156&amp;$V$3,BS_CONTROLE[CHAVE],BS_CONTROLE[Quantidade_11],"-")</f>
        <v>0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415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2700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20</v>
      </c>
      <c r="V168" s="98">
        <f ca="1">_xlfn.XLOOKUP(G168&amp;$V$3,BS_CONTROLE[CHAVE],BS_CONTROLE[Quantidade_11],"-")</f>
        <v>16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100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1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 t="str">
        <f ca="1">_xlfn.XLOOKUP(G171&amp;$W$3,BS_CONTROLE[CHAVE],BS_CONTROLE[Quantidade_11],"-")</f>
        <v>-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>
        <f ca="1">_xlfn.XLOOKUP(G172&amp;$W$3,BS_CONTROLE[CHAVE],BS_CONTROLE[Quantidade_11],"-")</f>
        <v>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0</v>
      </c>
      <c r="W173" s="98">
        <f ca="1">_xlfn.XLOOKUP(G173&amp;$W$3,BS_CONTROLE[CHAVE],BS_CONTROLE[Quantidade_11],"-")</f>
        <v>415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63</v>
      </c>
      <c r="W174" s="98">
        <f ca="1">_xlfn.XLOOKUP(G174&amp;$W$3,BS_CONTROLE[CHAVE],BS_CONTROLE[Quantidade_11],"-")</f>
        <v>116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0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5</v>
      </c>
      <c r="W177" s="98">
        <f ca="1">_xlfn.XLOOKUP(G177&amp;$W$3,BS_CONTROLE[CHAVE],BS_CONTROLE[Quantidade_11],"-")</f>
        <v>2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0</v>
      </c>
      <c r="V182" s="98">
        <f ca="1">_xlfn.XLOOKUP(G182&amp;$V$3,BS_CONTROLE[CHAVE],BS_CONTROLE[Quantidade_11],"-")</f>
        <v>2700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1</v>
      </c>
      <c r="V183" s="98">
        <f ca="1">_xlfn.XLOOKUP(G183&amp;$V$3,BS_CONTROLE[CHAVE],BS_CONTROLE[Quantidade_11],"-")</f>
        <v>0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20</v>
      </c>
      <c r="V184" s="98">
        <f ca="1">_xlfn.XLOOKUP(G184&amp;$V$3,BS_CONTROLE[CHAVE],BS_CONTROLE[Quantidade_11],"-")</f>
        <v>16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 t="str">
        <f ca="1">_xlfn.XLOOKUP(G186&amp;$U$3,BS_CONTROLE[CHAVE],BS_CONTROLE[Quantidade_11],"-")</f>
        <v>-</v>
      </c>
      <c r="V186" s="98">
        <f ca="1">_xlfn.XLOOKUP(G186&amp;$V$3,BS_CONTROLE[CHAVE],BS_CONTROLE[Quantidade_11],"-")</f>
        <v>63</v>
      </c>
      <c r="W186" s="98">
        <f ca="1">_xlfn.XLOOKUP(G186&amp;$W$3,BS_CONTROLE[CHAVE],BS_CONTROLE[Quantidade_11],"-")</f>
        <v>116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100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1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415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0</v>
      </c>
      <c r="W189" s="98" t="str">
        <f ca="1">_xlfn.XLOOKUP(G189&amp;$W$3,BS_CONTROLE[CHAVE],BS_CONTROLE[Quantidade_11],"-")</f>
        <v>-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0</v>
      </c>
      <c r="V190" s="98">
        <f ca="1">_xlfn.XLOOKUP(G190&amp;$V$3,BS_CONTROLE[CHAVE],BS_CONTROLE[Quantidade_11],"-")</f>
        <v>2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 t="str">
        <f ca="1">_xlfn.XLOOKUP(G191&amp;$U$3,BS_CONTROLE[CHAVE],BS_CONTROLE[Quantidade_11],"-")</f>
        <v>-</v>
      </c>
      <c r="V191" s="98">
        <f ca="1">_xlfn.XLOOKUP(G191&amp;$V$3,BS_CONTROLE[CHAVE],BS_CONTROLE[Quantidade_11],"-")</f>
        <v>5</v>
      </c>
      <c r="W191" s="98">
        <f ca="1">_xlfn.XLOOKUP(G191&amp;$W$3,BS_CONTROLE[CHAVE],BS_CONTROLE[Quantidade_11],"-")</f>
        <v>2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1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0</v>
      </c>
      <c r="V198" s="98">
        <f ca="1">_xlfn.XLOOKUP(G198&amp;$V$3,BS_CONTROLE[CHAVE],BS_CONTROLE[Quantidade_11],"-")</f>
        <v>2700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1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0</v>
      </c>
      <c r="W200" s="98">
        <f ca="1">_xlfn.XLOOKUP(G200&amp;$W$3,BS_CONTROLE[CHAVE],BS_CONTROLE[Quantidade_11],"-")</f>
        <v>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 t="str">
        <f ca="1">_xlfn.XLOOKUP(G201&amp;$U$3,BS_CONTROLE[CHAVE],BS_CONTROLE[Quantidade_11],"-")</f>
        <v>-</v>
      </c>
      <c r="V201" s="98">
        <f ca="1">_xlfn.XLOOKUP(G201&amp;$V$3,BS_CONTROLE[CHAVE],BS_CONTROLE[Quantidade_11],"-")</f>
        <v>63</v>
      </c>
      <c r="W201" s="98">
        <f ca="1">_xlfn.XLOOKUP(G201&amp;$W$3,BS_CONTROLE[CHAVE],BS_CONTROLE[Quantidade_11],"-")</f>
        <v>116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1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20</v>
      </c>
      <c r="V203" s="98">
        <f ca="1">_xlfn.XLOOKUP(G203&amp;$V$3,BS_CONTROLE[CHAVE],BS_CONTROLE[Quantidade_11],"-")</f>
        <v>16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100</v>
      </c>
      <c r="V204" s="98">
        <f ca="1">_xlfn.XLOOKUP(G204&amp;$V$3,BS_CONTROLE[CHAVE],BS_CONTROLE[Quantidade_11],"-")</f>
        <v>0</v>
      </c>
      <c r="W204" s="98">
        <f ca="1">_xlfn.XLOOKUP(G204&amp;$W$3,BS_CONTROLE[CHAVE],BS_CONTROLE[Quantidade_11],"-")</f>
        <v>1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0</v>
      </c>
      <c r="W205" s="98">
        <f ca="1">_xlfn.XLOOKUP(G205&amp;$W$3,BS_CONTROLE[CHAVE],BS_CONTROLE[Quantidade_11],"-")</f>
        <v>415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0</v>
      </c>
      <c r="V206" s="98">
        <f ca="1">_xlfn.XLOOKUP(G206&amp;$V$3,BS_CONTROLE[CHAVE],BS_CONTROLE[Quantidade_11],"-")</f>
        <v>2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0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1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>
        <f ca="1">_xlfn.XLOOKUP(G209&amp;$W$3,BS_CONTROLE[CHAVE],BS_CONTROLE[Quantidade_11],"-")</f>
        <v>0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5</v>
      </c>
      <c r="W210" s="98">
        <f ca="1">_xlfn.XLOOKUP(G210&amp;$W$3,BS_CONTROLE[CHAVE],BS_CONTROLE[Quantidade_11],"-")</f>
        <v>2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63</v>
      </c>
      <c r="W213" s="98">
        <f ca="1">_xlfn.XLOOKUP(G213&amp;$W$3,BS_CONTROLE[CHAVE],BS_CONTROLE[Quantidade_11],"-")</f>
        <v>116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0</v>
      </c>
      <c r="V214" s="98">
        <f ca="1">_xlfn.XLOOKUP(G214&amp;$V$3,BS_CONTROLE[CHAVE],BS_CONTROLE[Quantidade_11],"-")</f>
        <v>2700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1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2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20</v>
      </c>
      <c r="V220" s="98">
        <f ca="1">_xlfn.XLOOKUP(G220&amp;$V$3,BS_CONTROLE[CHAVE],BS_CONTROLE[Quantidade_11],"-")</f>
        <v>16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415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0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0</v>
      </c>
      <c r="V227" s="98">
        <f ca="1">_xlfn.XLOOKUP(G227&amp;$V$3,BS_CONTROLE[CHAVE],BS_CONTROLE[Quantidade_11],"-")</f>
        <v>2</v>
      </c>
      <c r="W227" s="98">
        <f ca="1">_xlfn.XLOOKUP(G227&amp;$W$3,BS_CONTROLE[CHAVE],BS_CONTROLE[Quantidade_11],"-")</f>
        <v>0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100</v>
      </c>
      <c r="V229" s="98">
        <f ca="1">_xlfn.XLOOKUP(G229&amp;$V$3,BS_CONTROLE[CHAVE],BS_CONTROLE[Quantidade_11],"-")</f>
        <v>0</v>
      </c>
      <c r="W229" s="98">
        <f ca="1">_xlfn.XLOOKUP(G229&amp;$W$3,BS_CONTROLE[CHAVE],BS_CONTROLE[Quantidade_11],"-")</f>
        <v>1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0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 t="str">
        <f ca="1">_xlfn.XLOOKUP(G232&amp;$U$3,BS_CONTROLE[CHAVE],BS_CONTROLE[Quantidade_11],"-")</f>
        <v>-</v>
      </c>
      <c r="V232" s="98">
        <f ca="1">_xlfn.XLOOKUP(G232&amp;$V$3,BS_CONTROLE[CHAVE],BS_CONTROLE[Quantidade_11],"-")</f>
        <v>5</v>
      </c>
      <c r="W232" s="98">
        <f ca="1">_xlfn.XLOOKUP(G232&amp;$W$3,BS_CONTROLE[CHAVE],BS_CONTROLE[Quantidade_11],"-")</f>
        <v>2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1</v>
      </c>
      <c r="V238" s="98">
        <f ca="1">_xlfn.XLOOKUP(G238&amp;$V$3,BS_CONTROLE[CHAVE],BS_CONTROLE[Quantidade_11],"-")</f>
        <v>0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0</v>
      </c>
      <c r="V239" s="98">
        <f ca="1">_xlfn.XLOOKUP(G239&amp;$V$3,BS_CONTROLE[CHAVE],BS_CONTROLE[Quantidade_11],"-")</f>
        <v>2700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20</v>
      </c>
      <c r="V240" s="98">
        <f ca="1">_xlfn.XLOOKUP(G240&amp;$V$3,BS_CONTROLE[CHAVE],BS_CONTROLE[Quantidade_11],"-")</f>
        <v>16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1</v>
      </c>
      <c r="W241" s="98">
        <f ca="1">_xlfn.XLOOKUP(G241&amp;$W$3,BS_CONTROLE[CHAVE],BS_CONTROLE[Quantidade_11],"-")</f>
        <v>2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0</v>
      </c>
      <c r="W243" s="98">
        <f ca="1">_xlfn.XLOOKUP(G243&amp;$W$3,BS_CONTROLE[CHAVE],BS_CONTROLE[Quantidade_11],"-")</f>
        <v>415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>
        <f ca="1">_xlfn.XLOOKUP(G244&amp;$V$3,BS_CONTROLE[CHAVE],BS_CONTROLE[Quantidade_11],"-")</f>
        <v>0</v>
      </c>
      <c r="W244" s="98" t="str">
        <f ca="1">_xlfn.XLOOKUP(G244&amp;$W$3,BS_CONTROLE[CHAVE],BS_CONTROLE[Quantidade_11],"-")</f>
        <v>-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4.1666666666666664E-2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100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0</v>
      </c>
      <c r="V249" s="98">
        <f ca="1">_xlfn.XLOOKUP(G249&amp;$V$3,BS_CONTROLE[CHAVE],BS_CONTROLE[Quantidade_11],"-")</f>
        <v>2</v>
      </c>
      <c r="W249" s="98">
        <f ca="1">_xlfn.XLOOKUP(G249&amp;$W$3,BS_CONTROLE[CHAVE],BS_CONTROLE[Quantidade_11],"-")</f>
        <v>0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0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1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Oportunidade</v>
      </c>
      <c r="C253" s="95" t="str">
        <f>IF(FN_MC!Z248="","*",FN_MC!Z248)</f>
        <v>*</v>
      </c>
      <c r="D253" s="96" t="str">
        <f>IF(FN_MC!S248="","*",FN_MC!S248)</f>
        <v>MALHA CENTRAL</v>
      </c>
      <c r="E253" s="96" t="str">
        <f>IF(FN_MC!T248="","*",FN_MC!T248)</f>
        <v>POV-PRV</v>
      </c>
      <c r="F253" s="96">
        <f>IF(FN_MC!B248="","*",FN_MC!B248)</f>
        <v>46074</v>
      </c>
      <c r="G253" s="96" t="str">
        <f>IF(FN_MC!D248="","*",FN_MC!D248)</f>
        <v>E14</v>
      </c>
      <c r="H253" s="96" t="str">
        <f>IF(FN_MC!F248="","*",FN_MC!F248)</f>
        <v>MECANIZAÇÃO - ESMERILHADORA</v>
      </c>
      <c r="I253" s="96" t="str">
        <f>IF(FN_MC!H248="","*",FN_MC!H248)</f>
        <v>PSG2</v>
      </c>
      <c r="J253" s="96" t="str">
        <f>IF(FN_MC!I248="","*",FN_MC!I248)</f>
        <v>PSS</v>
      </c>
      <c r="K253" s="96" t="str">
        <f>IF(FN_MC!M248="","*",FN_MC!M248)</f>
        <v>PSG</v>
      </c>
      <c r="L253" s="186" t="str">
        <f>IF(FN_MC!N248="","*",FN_MC!N248)</f>
        <v>PSG1</v>
      </c>
      <c r="M253" s="97">
        <f>IF(FN_MC!J248="","*",FN_MC!J248)</f>
        <v>103</v>
      </c>
      <c r="N253" s="173">
        <f>IF(FN_MC!K248="","*",FN_MC!K248)</f>
        <v>1806</v>
      </c>
      <c r="O253" s="173" t="str">
        <f>IF(FN_MC!L248="","*",FN_MC!L248)</f>
        <v>-</v>
      </c>
      <c r="P253" s="107">
        <f>IF(FN_MC!O248="","*",FN_MC!O248)</f>
        <v>0.99930555555555556</v>
      </c>
      <c r="Q253" s="107">
        <f>IF(FN_MC!P248="","*",FN_MC!P248)</f>
        <v>4.1666666666666664E-2</v>
      </c>
      <c r="R253" s="96" t="str">
        <f>IF(FN_MC!Q248="","*",CONCATENATE(FN_MC!Q248," ",FN_MC!R248))</f>
        <v>20000 M</v>
      </c>
      <c r="S253" s="96" t="str">
        <f>IF(FN_MC!V248="","*",FN_MC!V248)</f>
        <v>Fernanda</v>
      </c>
      <c r="T253" s="96" t="str">
        <f>IF(FN_MC!W248="","*",FN_MC!W248)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53" s="98">
        <f ca="1">_xlfn.XLOOKUP(G253&amp;$U$3,BS_CONTROLE[CHAVE],BS_CONTROLE[Quantidade_11],"-")</f>
        <v>0</v>
      </c>
      <c r="V253" s="98">
        <f ca="1">_xlfn.XLOOKUP(G253&amp;$V$3,BS_CONTROLE[CHAVE],BS_CONTROLE[Quantidade_11],"-")</f>
        <v>0</v>
      </c>
      <c r="W253" s="98">
        <f ca="1">_xlfn.XLOOKUP(G253&amp;$W$3,BS_CONTROLE[CHAVE],BS_CONTROLE[Quantidade_11],"-")</f>
        <v>0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0</v>
      </c>
      <c r="V258" s="98">
        <f ca="1">_xlfn.XLOOKUP(G258&amp;$V$3,BS_CONTROLE[CHAVE],BS_CONTROLE[Quantidade_11],"-")</f>
        <v>2700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0</v>
      </c>
      <c r="W261" s="98">
        <f ca="1">_xlfn.XLOOKUP(G261&amp;$W$3,BS_CONTROLE[CHAVE],BS_CONTROLE[Quantidade_11],"-")</f>
        <v>415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>
      <c r="A262" s="95" t="str">
        <f>IF(FN_MC!Y257="","*",FN_MC!Y257)</f>
        <v>*</v>
      </c>
      <c r="B262" s="95" t="str">
        <f>IF(FN_MC!X257="","*",FN_MC!X257)</f>
        <v>Oportunidade</v>
      </c>
      <c r="C262" s="95" t="str">
        <f>IF(FN_MC!Z257="","*",FN_MC!Z257)</f>
        <v>*</v>
      </c>
      <c r="D262" s="96" t="str">
        <f>IF(FN_MC!S257="","*",FN_MC!S257)</f>
        <v>MALHA CENTRAL</v>
      </c>
      <c r="E262" s="96" t="str">
        <f>IF(FN_MC!T257="","*",FN_MC!T257)</f>
        <v>PRV-POV</v>
      </c>
      <c r="F262" s="96">
        <f>IF(FN_MC!B257="","*",FN_MC!B257)</f>
        <v>46075</v>
      </c>
      <c r="G262" s="96" t="str">
        <f>IF(FN_MC!D257="","*",FN_MC!D257)</f>
        <v>E14</v>
      </c>
      <c r="H262" s="96" t="str">
        <f>IF(FN_MC!F257="","*",FN_MC!F257)</f>
        <v>MECANIZAÇÃO - ESMERILHADORA</v>
      </c>
      <c r="I262" s="96" t="str">
        <f>IF(FN_MC!H257="","*",FN_MC!H257)</f>
        <v>PSS</v>
      </c>
      <c r="J262" s="96" t="str">
        <f>IF(FN_MC!I257="","*",FN_MC!I257)</f>
        <v>PSS</v>
      </c>
      <c r="K262" s="96" t="str">
        <f>IF(FN_MC!M257="","*",FN_MC!M257)</f>
        <v>PQI-PPR</v>
      </c>
      <c r="L262" s="186" t="str">
        <f>IF(FN_MC!N257="","*",FN_MC!N257)</f>
        <v>PQIPPR</v>
      </c>
      <c r="M262" s="97">
        <f>IF(FN_MC!J257="","*",FN_MC!J257)</f>
        <v>103</v>
      </c>
      <c r="N262" s="173">
        <f>IF(FN_MC!K257="","*",FN_MC!K257)</f>
        <v>1935</v>
      </c>
      <c r="O262" s="173">
        <f>IF(FN_MC!L257="","*",FN_MC!L257)</f>
        <v>1965</v>
      </c>
      <c r="P262" s="107">
        <f>IF(FN_MC!O257="","*",FN_MC!O257)</f>
        <v>0.95833333333333337</v>
      </c>
      <c r="Q262" s="107">
        <f>IF(FN_MC!P257="","*",FN_MC!P257)</f>
        <v>4.1666666666666664E-2</v>
      </c>
      <c r="R262" s="96" t="str">
        <f>IF(FN_MC!Q257="","*",CONCATENATE(FN_MC!Q257," ",FN_MC!R257))</f>
        <v>2000 M</v>
      </c>
      <c r="S262" s="96" t="str">
        <f>IF(FN_MC!V257="","*",FN_MC!V257)</f>
        <v>Fernanda</v>
      </c>
      <c r="T262" s="96" t="str">
        <f>IF(FN_MC!W257="","*",FN_MC!W257)</f>
        <v>Deslocamento de PSS até PQI / Esmerilhar de PQI até PPR / Deslocamento de PPR até PSS</v>
      </c>
      <c r="U262" s="98">
        <f ca="1">_xlfn.XLOOKUP(G262&amp;$U$3,BS_CONTROLE[CHAVE],BS_CONTROLE[Quantidade_11],"-")</f>
        <v>0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2700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TBE-TRM</v>
      </c>
      <c r="L269" s="186" t="str">
        <f>IF(FN_MC!N264="","*",FN_MC!N264)</f>
        <v>539TRM</v>
      </c>
      <c r="M269" s="97">
        <f>IF(FN_MC!J264="","*",FN_MC!J264)</f>
        <v>98</v>
      </c>
      <c r="N269" s="173">
        <f>IF(FN_MC!K264="","*",FN_MC!K264)</f>
        <v>546.24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1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0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20</v>
      </c>
      <c r="V271" s="98">
        <f ca="1">_xlfn.XLOOKUP(G271&amp;$V$3,BS_CONTROLE[CHAVE],BS_CONTROLE[Quantidade_11],"-")</f>
        <v>16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63</v>
      </c>
      <c r="W272" s="98">
        <f ca="1">_xlfn.XLOOKUP(G272&amp;$W$3,BS_CONTROLE[CHAVE],BS_CONTROLE[Quantidade_11],"-")</f>
        <v>116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0</v>
      </c>
      <c r="W273" s="98">
        <f ca="1">_xlfn.XLOOKUP(G273&amp;$W$3,BS_CONTROLE[CHAVE],BS_CONTROLE[Quantidade_11],"-")</f>
        <v>415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0</v>
      </c>
      <c r="V275" s="98">
        <f ca="1">_xlfn.XLOOKUP(G275&amp;$V$3,BS_CONTROLE[CHAVE],BS_CONTROLE[Quantidade_11],"-")</f>
        <v>2</v>
      </c>
      <c r="W275" s="98">
        <f ca="1">_xlfn.XLOOKUP(G275&amp;$W$3,BS_CONTROLE[CHAVE],BS_CONTROLE[Quantidade_11],"-")</f>
        <v>0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>
        <f ca="1">_xlfn.XLOOKUP(G277&amp;$V$3,BS_CONTROLE[CHAVE],BS_CONTROLE[Quantidade_11],"-")</f>
        <v>0</v>
      </c>
      <c r="W277" s="98" t="str">
        <f ca="1">_xlfn.XLOOKUP(G277&amp;$W$3,BS_CONTROLE[CHAVE],BS_CONTROLE[Quantidade_11],"-")</f>
        <v>-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TAP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100</v>
      </c>
      <c r="V278" s="98">
        <f ca="1">_xlfn.XLOOKUP(G278&amp;$V$3,BS_CONTROLE[CHAVE],BS_CONTROLE[Quantidade_11],"-")</f>
        <v>0</v>
      </c>
      <c r="W278" s="98">
        <f ca="1">_xlfn.XLOOKUP(G278&amp;$W$3,BS_CONTROLE[CHAVE],BS_CONTROLE[Quantidade_11],"-")</f>
        <v>1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 t="str">
        <f ca="1">_xlfn.XLOOKUP(G283&amp;$U$3,BS_CONTROLE[CHAVE],BS_CONTROLE[Quantidade_11],"-")</f>
        <v>-</v>
      </c>
      <c r="V283" s="98">
        <f ca="1">_xlfn.XLOOKUP(G283&amp;$V$3,BS_CONTROLE[CHAVE],BS_CONTROLE[Quantidade_11],"-")</f>
        <v>5</v>
      </c>
      <c r="W283" s="98">
        <f ca="1">_xlfn.XLOOKUP(G283&amp;$W$3,BS_CONTROLE[CHAVE],BS_CONTROLE[Quantidade_11],"-")</f>
        <v>2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e">
        <f>IF(FN_MC!#REF!="","*",FN_MC!#REF!)</f>
        <v>#REF!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e">
        <f ca="1">_xlfn.XLOOKUP(G766&amp;$U$3,BS_CONTROLE[CHAVE],BS_CONTROLE[Quantidade_11],"-")</f>
        <v>#REF!</v>
      </c>
      <c r="V766" s="98" t="e">
        <f ca="1">_xlfn.XLOOKUP(G766&amp;$V$3,BS_CONTROLE[CHAVE],BS_CONTROLE[Quantidade_11],"-")</f>
        <v>#REF!</v>
      </c>
      <c r="W766" s="98" t="e">
        <f ca="1">_xlfn.XLOOKUP(G766&amp;$W$3,BS_CONTROLE[CHAVE],BS_CONTROLE[Quantidade_11],"-")</f>
        <v>#REF!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IF(FN_MC!D761="","*",FN_MC!D761)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2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1778</v>
      </c>
      <c r="C2" s="83" t="s">
        <v>1197</v>
      </c>
      <c r="D2" s="83" t="s">
        <v>1199</v>
      </c>
      <c r="E2" s="83" t="s">
        <v>1779</v>
      </c>
      <c r="F2" s="83" t="s">
        <v>1780</v>
      </c>
      <c r="G2" s="83" t="s">
        <v>1781</v>
      </c>
      <c r="H2" s="83" t="s">
        <v>1782</v>
      </c>
      <c r="I2" s="83" t="s">
        <v>1783</v>
      </c>
      <c r="J2" s="83" t="s">
        <v>1784</v>
      </c>
      <c r="K2" s="109" t="s">
        <v>1785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>
        <f>IF(FN_MC!B248="","*",FN_MC!B248)</f>
        <v>46074</v>
      </c>
      <c r="D288" s="101" t="str">
        <f>IF(FN_MC!D248="","*",FN_MC!D248)</f>
        <v>E14</v>
      </c>
      <c r="E288" s="101" t="str">
        <f>IF(FN_MC!H248="","*",FN_MC!H248)</f>
        <v>PSG2</v>
      </c>
      <c r="F288" s="114" t="str">
        <f>IF(FN_MC!M248="","*",FN_MC!M248)</f>
        <v>PSG</v>
      </c>
      <c r="G288" s="101" t="str">
        <f>IF(FN_MC!I248="","*",FN_MC!I248)</f>
        <v>PSS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>
      <c r="B297" s="100" t="str">
        <f>IF(FN_MC!Y257="","*",FN_MC!Y257)</f>
        <v>*</v>
      </c>
      <c r="C297" s="101">
        <f>IF(FN_MC!B257="","*",FN_MC!B257)</f>
        <v>46075</v>
      </c>
      <c r="D297" s="101" t="str">
        <f>IF(FN_MC!D257="","*",FN_MC!D257)</f>
        <v>E14</v>
      </c>
      <c r="E297" s="101" t="str">
        <f>IF(FN_MC!H257="","*",FN_MC!H257)</f>
        <v>PSS</v>
      </c>
      <c r="F297" s="114" t="str">
        <f>IF(FN_MC!M257="","*",FN_MC!M257)</f>
        <v>PQI-PPR</v>
      </c>
      <c r="G297" s="101" t="str">
        <f>IF(FN_MC!I257="","*",FN_MC!I257)</f>
        <v>PSS</v>
      </c>
      <c r="H297" s="101" t="str">
        <f>IF(FN_MC!AB257="","*",FN_MC!AB257)</f>
        <v>FIXO</v>
      </c>
      <c r="I297" s="101" t="str">
        <f>IF(FN_MC!AC257="","*",FN_MC!AC257)</f>
        <v>*</v>
      </c>
      <c r="J297" s="102">
        <f>IF(FN_MC!AA257="","*",FN_MC!AA257)</f>
        <v>1</v>
      </c>
      <c r="K297" s="112">
        <f>IF(FN_MC!AD257="","*",FN_MC!AD257)</f>
        <v>0.95833333333333337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TBE-TRM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TAP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e">
        <f>IF(FN_MC!#REF!="","*",FN_MC!#REF!)</f>
        <v>#REF!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IF(FN_MC!D761="","*",FN_MC!D761)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2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1786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1787</v>
      </c>
      <c r="C4" s="181" t="s">
        <v>1788</v>
      </c>
      <c r="D4" s="181" t="s">
        <v>1789</v>
      </c>
      <c r="E4" s="181" t="s">
        <v>1790</v>
      </c>
      <c r="F4" s="181" t="s">
        <v>4</v>
      </c>
      <c r="G4" s="181" t="s">
        <v>1791</v>
      </c>
    </row>
    <row r="5" spans="2:7">
      <c r="B5" s="182" t="s">
        <v>1792</v>
      </c>
      <c r="C5" s="182">
        <v>309525</v>
      </c>
      <c r="D5" s="182" t="s">
        <v>1793</v>
      </c>
      <c r="E5" s="182" t="s">
        <v>878</v>
      </c>
      <c r="F5" s="182" t="s">
        <v>1794</v>
      </c>
      <c r="G5" s="183">
        <v>46296</v>
      </c>
    </row>
    <row r="6" spans="2:7">
      <c r="B6" s="182" t="s">
        <v>1795</v>
      </c>
      <c r="C6" s="182">
        <v>257410</v>
      </c>
      <c r="D6" s="182" t="s">
        <v>1796</v>
      </c>
      <c r="E6" s="182" t="s">
        <v>878</v>
      </c>
      <c r="F6" s="182" t="s">
        <v>1794</v>
      </c>
      <c r="G6" s="183"/>
    </row>
    <row r="7" spans="2:7">
      <c r="B7" s="182" t="s">
        <v>1484</v>
      </c>
      <c r="C7" s="182">
        <v>256875</v>
      </c>
      <c r="D7" s="182" t="s">
        <v>1797</v>
      </c>
      <c r="E7" s="182" t="s">
        <v>878</v>
      </c>
      <c r="F7" s="182" t="s">
        <v>1794</v>
      </c>
      <c r="G7" s="183">
        <v>46296</v>
      </c>
    </row>
    <row r="8" spans="2:7">
      <c r="B8" s="182" t="s">
        <v>1798</v>
      </c>
      <c r="C8" s="182">
        <v>257278</v>
      </c>
      <c r="D8" s="182" t="s">
        <v>1799</v>
      </c>
      <c r="E8" s="182" t="s">
        <v>869</v>
      </c>
      <c r="F8" s="182" t="s">
        <v>1800</v>
      </c>
      <c r="G8" s="183">
        <v>46235</v>
      </c>
    </row>
    <row r="9" spans="2:7">
      <c r="B9" s="182" t="s">
        <v>1801</v>
      </c>
      <c r="C9" s="182">
        <v>261794</v>
      </c>
      <c r="D9" s="182" t="s">
        <v>1802</v>
      </c>
      <c r="E9" s="182" t="s">
        <v>869</v>
      </c>
      <c r="F9" s="182" t="s">
        <v>1800</v>
      </c>
      <c r="G9" s="183">
        <v>46082</v>
      </c>
    </row>
    <row r="10" spans="2:7">
      <c r="B10" s="182" t="s">
        <v>1803</v>
      </c>
      <c r="C10" s="182">
        <v>257033</v>
      </c>
      <c r="D10" s="182" t="s">
        <v>1804</v>
      </c>
      <c r="E10" s="182" t="s">
        <v>869</v>
      </c>
      <c r="F10" s="182" t="s">
        <v>118</v>
      </c>
      <c r="G10" s="182" t="s">
        <v>1805</v>
      </c>
    </row>
    <row r="11" spans="2:7">
      <c r="B11" s="182" t="s">
        <v>1806</v>
      </c>
      <c r="C11" s="182">
        <v>396578</v>
      </c>
      <c r="D11" s="182" t="s">
        <v>1807</v>
      </c>
      <c r="E11" s="182" t="s">
        <v>869</v>
      </c>
      <c r="F11" s="182" t="s">
        <v>118</v>
      </c>
      <c r="G11" s="182" t="s">
        <v>1805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1808</v>
      </c>
      <c r="D5" s="271"/>
      <c r="E5" s="271"/>
      <c r="F5" s="271"/>
      <c r="G5" s="271"/>
      <c r="H5" s="271"/>
      <c r="I5" s="271"/>
      <c r="J5" s="272"/>
      <c r="K5" s="273" t="s">
        <v>1809</v>
      </c>
      <c r="L5" s="274"/>
      <c r="M5" s="274"/>
      <c r="N5" s="274"/>
      <c r="O5" s="275" t="s">
        <v>1810</v>
      </c>
      <c r="P5" s="276"/>
      <c r="Q5" s="277"/>
    </row>
    <row r="6" spans="1:17" s="81" customFormat="1" ht="15.75" customHeight="1">
      <c r="A6" s="75" t="s">
        <v>1776</v>
      </c>
      <c r="B6" s="82" t="s">
        <v>1775</v>
      </c>
      <c r="C6" s="83" t="s">
        <v>1212</v>
      </c>
      <c r="D6" s="84" t="s">
        <v>1213</v>
      </c>
      <c r="E6" s="83" t="s">
        <v>1811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1812</v>
      </c>
      <c r="M6" s="116" t="s">
        <v>658</v>
      </c>
      <c r="N6" s="117" t="s">
        <v>1207</v>
      </c>
      <c r="O6" s="159" t="s">
        <v>1250</v>
      </c>
      <c r="P6" s="128"/>
      <c r="Q6" s="138" t="s">
        <v>1813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MC1 08h57 / autorizado entrada na via 13h19. devido avaria no RDC não conseguiu realizar o intervalo.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4.1666666666666664E-2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2</v>
      </c>
      <c r="P285" s="78"/>
      <c r="Q285" s="120" t="str">
        <f>IF($A$2=1,IF(FN_MC!BJ241="","*",FN_MC!BJ241),IF(FN_MC!BK241="","*",FN_MC!BK241))</f>
        <v>MC1 11h48 / Realizado intervalo para descarga de dormente.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TP pronto 08h46 / Sem Oportundiade de faixa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mc1 08h50 / Sem oportunidade de faixa</v>
      </c>
    </row>
    <row r="292" spans="1:17" hidden="1">
      <c r="A292" s="85">
        <f>IF(FN_MC!B248="","*",FN_MC!B248)</f>
        <v>46074</v>
      </c>
      <c r="B292" s="86" t="str">
        <f>IF(FN_MC!X248="","*",FN_MC!X248)</f>
        <v>Oportunidade</v>
      </c>
      <c r="C292" s="87" t="str">
        <f>IF(FN_MC!S248="","*",FN_MC!S248)</f>
        <v>MALHA CENTRAL</v>
      </c>
      <c r="D292" s="87" t="str">
        <f>IF(FN_MC!T248="","*",FN_MC!T248)</f>
        <v>POV-PRV</v>
      </c>
      <c r="E292" s="87" t="str">
        <f>IF(FN_MC!D248="","*",FN_MC!D248)</f>
        <v>E14</v>
      </c>
      <c r="F292" s="87" t="str">
        <f>IF(FN_MC!H248="","*",FN_MC!H248)</f>
        <v>PSG2</v>
      </c>
      <c r="G292" s="87" t="str">
        <f>IF(FN_MC!M248="","*",FN_MC!M248)</f>
        <v>PSG</v>
      </c>
      <c r="H292" s="125">
        <f>IF(FN_MC!K248="","*",FN_MC!K248)</f>
        <v>1806</v>
      </c>
      <c r="I292" s="110">
        <f>IF(FN_MC!O248="","*",FN_MC!O248)</f>
        <v>0.99930555555555556</v>
      </c>
      <c r="J292" s="110">
        <f>IF(FN_MC!P248="","*",FN_MC!P248)</f>
        <v>4.1666666666666664E-2</v>
      </c>
      <c r="K292" s="118" t="str">
        <f>IF(FN_MC!AK248="","*",FN_MC!AK248)</f>
        <v>PSG2</v>
      </c>
      <c r="L292" s="118" t="str">
        <f>IF(FN_MC!AM248="","*",FN_MC!AM248)</f>
        <v>PSG</v>
      </c>
      <c r="M292" s="118">
        <f>IF(FN_MC!AP248="","*",FN_MC!AP248)</f>
        <v>1806</v>
      </c>
      <c r="N292" s="118" t="str">
        <f>IF(FN_MC!AM248="","*",FN_MC!AM248)</f>
        <v>PSG</v>
      </c>
      <c r="O292" s="135">
        <f>FN_MC!BH248</f>
        <v>0</v>
      </c>
      <c r="P292" s="78"/>
      <c r="Q292" s="120" t="str">
        <f>IF($A$2=1,IF(FN_MC!BJ248="","*",FN_MC!BJ248),IF(FN_MC!BK248="","*",FN_MC!BK248))</f>
        <v>Devido horário, realizou apenas o deslocamento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>
        <f>IF(FN_MC!B257="","*",FN_MC!B257)</f>
        <v>46075</v>
      </c>
      <c r="B301" s="86" t="str">
        <f>IF(FN_MC!X257="","*",FN_MC!X257)</f>
        <v>Oportunidade</v>
      </c>
      <c r="C301" s="87" t="str">
        <f>IF(FN_MC!S257="","*",FN_MC!S257)</f>
        <v>MALHA CENTRAL</v>
      </c>
      <c r="D301" s="87" t="str">
        <f>IF(FN_MC!T257="","*",FN_MC!T257)</f>
        <v>PRV-POV</v>
      </c>
      <c r="E301" s="87" t="str">
        <f>IF(FN_MC!D257="","*",FN_MC!D257)</f>
        <v>E14</v>
      </c>
      <c r="F301" s="87" t="str">
        <f>IF(FN_MC!H257="","*",FN_MC!H257)</f>
        <v>PSS</v>
      </c>
      <c r="G301" s="87" t="str">
        <f>IF(FN_MC!M257="","*",FN_MC!M257)</f>
        <v>PQI-PPR</v>
      </c>
      <c r="H301" s="125">
        <f>IF(FN_MC!K257="","*",FN_MC!K257)</f>
        <v>1935</v>
      </c>
      <c r="I301" s="110">
        <f>IF(FN_MC!O257="","*",FN_MC!O257)</f>
        <v>0.95833333333333337</v>
      </c>
      <c r="J301" s="110">
        <f>IF(FN_MC!P257="","*",FN_MC!P257)</f>
        <v>4.1666666666666664E-2</v>
      </c>
      <c r="K301" s="118" t="str">
        <f>IF(FN_MC!AK257="","*",FN_MC!AK257)</f>
        <v>PSS</v>
      </c>
      <c r="L301" s="118" t="str">
        <f>IF(FN_MC!AM257="","*",FN_MC!AM257)</f>
        <v>PQI-PPR</v>
      </c>
      <c r="M301" s="118">
        <f>IF(FN_MC!AP257="","*",FN_MC!AP257)</f>
        <v>1935</v>
      </c>
      <c r="N301" s="118" t="str">
        <f>IF(FN_MC!AM257="","*",FN_MC!AM257)</f>
        <v>PQI-PPR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TBE-TRM</v>
      </c>
      <c r="H308" s="125">
        <f>IF(FN_MC!K264="","*",FN_MC!K264)</f>
        <v>546.24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TBE-TRM</v>
      </c>
      <c r="M308" s="118">
        <f>IF(FN_MC!AP264="","*",FN_MC!AP264)</f>
        <v>546.24</v>
      </c>
      <c r="N308" s="118" t="str">
        <f>IF(FN_MC!AM264="","*",FN_MC!AM264)</f>
        <v>TBE-TRM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e">
        <f>IF(FN_MC!#REF!="","*",FN_MC!#REF!)</f>
        <v>#REF!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IF(FN_MC!D761="","*",FN_MC!D761)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1814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4.xml>�� 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240BCD3A-81BF-43BE-8DF4-0A8D277F0432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2026-02-22T12:22:54Z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