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66" documentId="8_{B6337239-1A00-434D-AAD0-422EA1FEB5AE}" xr6:coauthVersionLast="47" xr6:coauthVersionMax="47" xr10:uidLastSave="{63D040D2-D042-4307-9EFD-830A253C9A5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N470" i="1" a="1"/>
  <c r="N470" i="1"/>
  <c r="N472" i="1" a="1"/>
  <c r="N472" i="1"/>
  <c r="N473" i="1" a="1"/>
  <c r="N473" i="1"/>
  <c r="N474" i="1" a="1"/>
  <c r="N474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N481" i="1" a="1"/>
  <c r="N481" i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M463" i="1" a="1"/>
  <c r="M463" i="1" s="1"/>
  <c r="N460" i="1" a="1"/>
  <c r="N460" i="1" s="1"/>
  <c r="M460" i="1" a="1"/>
  <c r="M460" i="1" s="1"/>
  <c r="N459" i="1" a="1"/>
  <c r="N459" i="1" s="1"/>
  <c r="M459" i="1" a="1"/>
  <c r="M459" i="1" s="1"/>
  <c r="N456" i="1" a="1"/>
  <c r="N456" i="1" s="1"/>
  <c r="M456" i="1" a="1"/>
  <c r="M456" i="1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48" i="1" a="1"/>
  <c r="N448" i="1"/>
  <c r="N449" i="1" a="1"/>
  <c r="N449" i="1"/>
  <c r="N450" i="1" a="1"/>
  <c r="N450" i="1"/>
  <c r="N451" i="1" a="1"/>
  <c r="N451" i="1"/>
  <c r="N452" i="1" a="1"/>
  <c r="N452" i="1"/>
  <c r="N453" i="1" a="1"/>
  <c r="N453" i="1"/>
  <c r="N454" i="1" a="1"/>
  <c r="N454" i="1"/>
  <c r="N455" i="1" a="1"/>
  <c r="N455" i="1"/>
  <c r="N457" i="1" a="1"/>
  <c r="N457" i="1"/>
  <c r="M438" i="1" a="1"/>
  <c r="M438" i="1"/>
  <c r="M440" i="1" a="1"/>
  <c r="M440" i="1"/>
  <c r="M445" i="1" a="1"/>
  <c r="M445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N461" i="1" a="1"/>
  <c r="N461" i="1"/>
  <c r="N482" i="1" a="1"/>
  <c r="N482" i="1"/>
  <c r="N483" i="1" a="1"/>
  <c r="N483" i="1"/>
  <c r="N484" i="1" a="1"/>
  <c r="N484" i="1"/>
  <c r="M457" i="1" a="1"/>
  <c r="M457" i="1"/>
  <c r="M461" i="1" a="1"/>
  <c r="M461" i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/>
  <c r="L202" i="12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/>
  <c r="K194" i="12" s="1"/>
  <c r="M197" i="1" a="1"/>
  <c r="M197" i="1" s="1"/>
  <c r="M198" i="1" a="1"/>
  <c r="M198" i="1" s="1"/>
  <c r="M199" i="1" a="1"/>
  <c r="M199" i="1"/>
  <c r="K197" i="12" s="1"/>
  <c r="M200" i="1" a="1"/>
  <c r="M200" i="1"/>
  <c r="K198" i="12" s="1"/>
  <c r="M201" i="1" a="1"/>
  <c r="M201" i="1" s="1"/>
  <c r="M202" i="1" a="1"/>
  <c r="M202" i="1"/>
  <c r="K200" i="12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/>
  <c r="K181" i="12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/>
  <c r="K177" i="12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/>
  <c r="L169" i="12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/>
  <c r="K170" i="12" s="1"/>
  <c r="M171" i="1" a="1"/>
  <c r="M171" i="1" s="1"/>
  <c r="M170" i="1" a="1"/>
  <c r="M170" i="1" s="1"/>
  <c r="M168" i="1" a="1"/>
  <c r="M168" i="1"/>
  <c r="K166" i="12" s="1"/>
  <c r="M166" i="1" a="1"/>
  <c r="M166" i="1"/>
  <c r="K164" i="12" s="1"/>
  <c r="N164" i="1" a="1"/>
  <c r="N164" i="1" s="1"/>
  <c r="M164" i="1" a="1"/>
  <c r="M164" i="1"/>
  <c r="K162" i="12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/>
  <c r="L158" i="12" s="1"/>
  <c r="M160" i="1" a="1"/>
  <c r="M160" i="1" s="1"/>
  <c r="N159" i="1" a="1"/>
  <c r="N159" i="1"/>
  <c r="L157" i="12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/>
  <c r="K149" i="12" s="1"/>
  <c r="N150" i="1" a="1"/>
  <c r="N150" i="1" s="1"/>
  <c r="M150" i="1" a="1"/>
  <c r="M150" i="1"/>
  <c r="K148" i="12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/>
  <c r="L150" i="12" s="1"/>
  <c r="N149" i="1" a="1"/>
  <c r="N149" i="1" s="1"/>
  <c r="L147" i="12" s="1"/>
  <c r="N148" i="1" a="1"/>
  <c r="N148" i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/>
  <c r="K147" i="12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/>
  <c r="K126" i="12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/>
  <c r="K115" i="12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/>
  <c r="L120" i="12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/>
  <c r="L67" i="12" s="1"/>
  <c r="N70" i="1" a="1"/>
  <c r="N70" i="1" s="1"/>
  <c r="N74" i="1" a="1"/>
  <c r="N74" i="1" s="1"/>
  <c r="M63" i="1" a="1"/>
  <c r="M63" i="1"/>
  <c r="K61" i="12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47" i="1" l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<sst xmlns="http://schemas.openxmlformats.org/spreadsheetml/2006/main" count="10394" uniqueCount="1633">
  <si>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</si>
  <si>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</si>
  <si>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</si>
  <si>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</si>
  <si>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</si>
  <si>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</si>
  <si>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</si>
  <si>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</si>
  <si>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</si>
  <si>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</si>
  <si>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</si>
  <si>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</si>
  <si>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</si>
  <si>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</si>
  <si>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</si>
  <si>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</si>
  <si>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</si>
  <si>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</si>
  <si>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</si>
  <si>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</si>
  <si>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</si>
  <si>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</si>
  <si>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</si>
  <si>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</si>
  <si>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</si>
  <si>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</si>
  <si>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</si>
  <si>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</si>
  <si>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</si>
  <si>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</si>
  <si>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</si>
  <si>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</si>
  <si>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</si>
  <si>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</si>
  <si>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</si>
  <si>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</si>
  <si>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</si>
  <si>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</si>
  <si>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</si>
  <si>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</si>
  <si>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</si>
  <si>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</si>
  <si>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</si>
  <si>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</si>
  <si>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</si>
  <si>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</si>
  <si>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</si>
  <si>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</si>
  <si>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</si>
  <si>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</si>
  <si>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</si>
  <si>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</si>
  <si>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</si>
  <si>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</si>
  <si>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</si>
  <si>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</si>
  <si>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</si>
  <si>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</si>
  <si>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</si>
  <si>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</si>
  <si>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</si>
  <si>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</si>
  <si>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</si>
  <si>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</si>
  <si>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</si>
  <si>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</si>
  <si>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</si>
  <si>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</si>
  <si>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</si>
  <si>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</si>
  <si>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</si>
  <si>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</si>
  <si>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</si>
  <si>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</si>
  <si>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</si>
  <si>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</si>
  <si>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</si>
  <si>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</si>
  <si>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</si>
  <si>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</si>
  <si>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</si>
  <si>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</si>
  <si>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</si>
  <si>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</si>
  <si>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</si>
  <si>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</si>
  <si>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</si>
  <si>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</si>
  <si>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</si>
  <si>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</si>
  <si>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</si>
  <si>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</si>
  <si>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</si>
  <si>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</si>
  <si>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</si>
  <si>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</si>
  <si>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</si>
  <si>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</si>
  <si>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</si>
  <si>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</si>
  <si>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</si>
  <si>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</si>
  <si>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</si>
  <si>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</si>
  <si>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</si>
  <si>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</si>
  <si>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</si>
  <si>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</si>
  <si>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</si>
  <si>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</si>
  <si>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</si>
  <si>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</si>
  <si>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</si>
  <si>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</si>
  <si>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</si>
  <si>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</si>
  <si>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</si>
  <si>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</si>
  <si>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</si>
  <si>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</si>
  <si>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</si>
  <si>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</si>
  <si>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</si>
  <si>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</si>
  <si>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</si>
  <si>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</si>
  <si>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</si>
  <si>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</si>
  <si>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</si>
  <si>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</si>
  <si>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</si>
  <si>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</si>
  <si>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</si>
  <si>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</si>
  <si>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</si>
  <si>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</si>
  <si>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</si>
  <si>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</si>
  <si>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</si>
  <si>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</si>
  <si>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</si>
  <si>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</si>
  <si>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</si>
  <si>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</si>
  <si>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</si>
  <si>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</si>
  <si>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</si>
  <si>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</si>
  <si>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</si>
  <si>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</si>
  <si>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</si>
  <si>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</si>
  <si>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</si>
  <si>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</si>
  <si>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</si>
  <si>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</si>
  <si>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</si>
  <si>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</si>
  <si>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</si>
  <si>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</si>
  <si>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</si>
  <si>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</si>
  <si>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</si>
  <si>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</si>
  <si>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</si>
  <si>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</si>
  <si>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</si>
  <si>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</si>
  <si>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</si>
  <si>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</si>
  <si>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</si>
  <si>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</si>
  <si>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</si>
  <si>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</si>
  <si>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</si>
  <si>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</si>
  <si>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</si>
  <si>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</si>
  <si>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</si>
  <si>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</si>
  <si>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</si>
  <si>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</si>
  <si>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</si>
  <si>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</si>
  <si>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</si>
  <si>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</si>
  <si>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</si>
  <si>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</si>
  <si>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</si>
  <si>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</si>
  <si>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</si>
  <si>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</si>
  <si>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</si>
  <si>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</si>
  <si>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</si>
  <si>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</si>
  <si>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</si>
  <si>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</si>
  <si>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</si>
  <si>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</si>
  <si>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</si>
  <si>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</si>
  <si>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</si>
  <si>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</si>
  <si>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</si>
  <si>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</si>
  <si>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</si>
  <si>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</si>
  <si>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</si>
  <si>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</si>
  <si>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</si>
  <si>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</si>
  <si>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</si>
  <si>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</si>
  <si>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</si>
  <si>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</si>
  <si>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</si>
  <si>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</si>
  <si>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</si>
  <si>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</si>
  <si>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</si>
  <si>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</si>
  <si>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</si>
  <si>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</si>
  <si>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</si>
  <si>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</si>
  <si>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</si>
  <si>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</si>
  <si>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</si>
  <si>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</si>
  <si>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</si>
  <si>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</si>
  <si>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</si>
  <si>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</si>
  <si>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</si>
  <si>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</si>
  <si>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</si>
  <si>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</si>
  <si>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</si>
  <si>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</si>
  <si>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</si>
  <si>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</si>
  <si>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</si>
  <si>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</si>
  <si>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</si>
  <si>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</si>
  <si>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</si>
  <si>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</si>
  <si>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</si>
  <si>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</si>
  <si>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</si>
  <si>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</si>
  <si>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</si>
  <si>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</si>
  <si>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</si>
  <si>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</si>
  <si>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</si>
  <si>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</si>
  <si>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</si>
  <si>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</si>
  <si>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</si>
  <si>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</si>
  <si>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</si>
  <si>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</si>
  <si>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</si>
  <si>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</si>
  <si>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</si>
  <si>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</si>
  <si>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</si>
  <si>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</si>
  <si>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</si>
  <si>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</si>
  <si>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</si>
  <si>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</si>
  <si>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</si>
  <si>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</si>
  <si>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</si>
  <si>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</si>
  <si>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</si>
  <si>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</si>
  <si>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</si>
  <si>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</si>
  <si>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</si>
  <si>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</si>
  <si>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</si>
  <si>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</si>
  <si>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</si>
  <si>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</si>
  <si>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</si>
  <si>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</si>
  <si>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</si>
  <si>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</si>
  <si>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</si>
  <si>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</si>
  <si>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</si>
  <si>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</si>
  <si>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</si>
  <si>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</si>
  <si>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</si>
  <si>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</si>
  <si>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</si>
  <si>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</si>
  <si>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</si>
  <si>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</si>
  <si>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</si>
  <si>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</si>
  <si>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</si>
  <si>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</si>
  <si>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</si>
  <si>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</si>
  <si>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</si>
  <si>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</si>
  <si>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</si>
  <si>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</si>
  <si>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</si>
  <si>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</si>
  <si>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</si>
  <si>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</si>
  <si>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</si>
  <si>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</si>
  <si>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</si>
  <si>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</si>
  <si>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</si>
  <si>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</si>
  <si>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</si>
  <si>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</si>
  <si>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</si>
  <si>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</si>
  <si>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</si>
  <si>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</si>
  <si>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</si>
  <si>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</si>
  <si>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</si>
  <si>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</si>
  <si>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</si>
  <si>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</si>
  <si>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</si>
  <si>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</si>
  <si>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</si>
  <si>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</si>
  <si>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</si>
  <si>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</si>
  <si>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</si>
  <si>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</si>
  <si>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</si>
  <si>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</si>
  <si>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</si>
  <si>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</si>
  <si>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</si>
  <si>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</si>
  <si>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</si>
  <si>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</si>
  <si>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</si>
  <si>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</si>
  <si>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</si>
  <si>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</si>
  <si>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</si>
  <si>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</si>
  <si>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</si>
  <si>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</si>
  <si>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</si>
  <si>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</si>
  <si>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</si>
  <si>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</si>
  <si>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</si>
  <si>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</si>
  <si>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</si>
  <si>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</si>
  <si>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</si>
  <si>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</si>
  <si>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</si>
  <si>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</si>
  <si>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</si>
  <si>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</si>
  <si>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</si>
  <si>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</si>
  <si>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</si>
  <si>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</si>
  <si>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</si>
  <si>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</si>
  <si>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</si>
  <si>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</si>
  <si>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</si>
  <si>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</si>
  <si>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</si>
  <si>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</si>
  <si>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</si>
  <si>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</si>
  <si>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</si>
  <si>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</si>
  <si>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</si>
  <si>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</si>
  <si>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</si>
  <si>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</si>
  <si>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</si>
  <si>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</si>
  <si>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</si>
  <si>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</si>
  <si>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</si>
  <si>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</si>
  <si>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</si>
  <si>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</si>
  <si>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</si>
  <si>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</si>
  <si>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</si>
  <si>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</si>
  <si>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</si>
  <si>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</si>
  <si>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</si>
  <si>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</si>
  <si>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</si>
  <si>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</si>
  <si>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</si>
  <si>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</si>
  <si>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</si>
  <si>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</si>
  <si>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</si>
  <si>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</si>
  <si>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</si>
  <si>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</si>
  <si>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</si>
  <si>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</si>
  <si>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</si>
  <si>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</si>
  <si>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</si>
  <si>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</si>
  <si>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</si>
  <si>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</si>
  <si>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</si>
  <si>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</si>
  <si>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</si>
  <si>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</si>
  <si>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</si>
  <si>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</si>
  <si>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</si>
  <si>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</si>
  <si>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</si>
  <si>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</si>
  <si>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</si>
  <si>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</si>
  <si>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</si>
  <si>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</si>
  <si>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</si>
  <si>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</si>
  <si>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</si>
  <si>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</si>
  <si>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</si>
  <si>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</si>
  <si>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</si>
  <si>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</si>
  <si>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</si>
  <si>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</si>
  <si>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</si>
  <si>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</si>
  <si>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</si>
  <si>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</si>
  <si>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</si>
  <si>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</si>
  <si>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</si>
  <si>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</si>
  <si>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</si>
  <si>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</si>
  <si>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</si>
  <si>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</si>
  <si>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</si>
  <si>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</si>
  <si>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</si>
  <si>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</si>
  <si>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</si>
  <si>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</si>
  <si>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</si>
  <si>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</si>
  <si>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</si>
  <si>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</si>
  <si>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</si>
  <si>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</si>
  <si>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</si>
  <si>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</si>
  <si>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</si>
  <si>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</si>
  <si>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</si>
  <si>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</si>
  <si>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</si>
  <si>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</si>
  <si>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</si>
  <si>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</si>
  <si>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</si>
  <si>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</si>
  <si>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</si>
  <si>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</si>
  <si>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</si>
  <si>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</si>
  <si>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</si>
  <si>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</si>
  <si>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</si>
  <si>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</si>
  <si>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</si>
  <si>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</si>
  <si>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</si>
  <si>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</si>
  <si>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</si>
  <si>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</si>
  <si>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</si>
  <si>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</si>
  <si>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</si>
  <si>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</si>
  <si>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</si>
  <si>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</si>
  <si>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</si>
  <si>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</si>
  <si>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</si>
  <si>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</si>
  <si>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</si>
  <si>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</si>
  <si>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</si>
  <si>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</si>
  <si>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</si>
  <si>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</si>
  <si>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</si>
  <si>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</si>
  <si>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</si>
  <si>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</si>
  <si>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</si>
  <si>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</si>
  <si>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</si>
  <si>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</si>
  <si>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</si>
  <si>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</si>
  <si>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</si>
  <si>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</si>
  <si>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</si>
  <si>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</si>
  <si>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</si>
  <si>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</si>
  <si>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</si>
  <si>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</si>
  <si>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</si>
  <si>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</si>
  <si>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</si>
  <si>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</si>
  <si>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</si>
  <si>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</si>
  <si>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</si>
  <si>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</si>
  <si>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</si>
  <si>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</si>
  <si>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</si>
  <si>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</si>
  <si>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</si>
  <si>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</si>
  <si>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</si>
  <si>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</si>
  <si>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</si>
  <si>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</si>
  <si>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</si>
  <si>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</si>
  <si>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</si>
  <si>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</si>
  <si>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</si>
  <si>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</si>
  <si>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</si>
  <si>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</si>
  <si>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</si>
  <si>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</si>
  <si>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</si>
  <si>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</si>
  <si>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</si>
  <si>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</si>
  <si>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</si>
  <si>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</si>
  <si>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</si>
  <si>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</si>
  <si>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</si>
  <si>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</si>
  <si>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</si>
  <si>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</si>
  <si>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</si>
  <si>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</si>
  <si>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</si>
  <si>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</si>
  <si>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</si>
  <si>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</si>
  <si>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</si>
  <si>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</si>
  <si>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</si>
  <si>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</si>
  <si>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</si>
  <si>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</si>
  <si>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</si>
  <si>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</si>
  <si>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</si>
  <si>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</si>
  <si>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</si>
  <si>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</si>
  <si>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</si>
  <si>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</si>
  <si>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</si>
  <si>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</si>
  <si>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</si>
  <si>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</si>
  <si>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</si>
  <si>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</si>
  <si>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</si>
  <si>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</si>
  <si>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</si>
  <si>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</si>
  <si>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</si>
  <si>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</si>
  <si>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</si>
  <si>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</si>
  <si>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</si>
  <si>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</si>
  <si>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</si>
  <si>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</si>
  <si>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</si>
  <si>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</si>
  <si>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</si>
  <si>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</si>
  <si>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</si>
  <si>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</si>
  <si>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</si>
  <si>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</si>
  <si>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</si>
  <si>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</si>
  <si>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</si>
  <si>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</si>
  <si>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</si>
  <si>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</si>
  <si>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</si>
  <si>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</si>
  <si>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</si>
  <si>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</si>
  <si>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</si>
  <si>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</si>
  <si>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</si>
  <si>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</si>
  <si>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</si>
  <si>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</si>
  <si>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</si>
  <si>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</si>
  <si>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</si>
  <si>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</si>
  <si>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</si>
  <si>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</si>
  <si>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</si>
  <si>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</si>
  <si>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</si>
  <si>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</si>
  <si>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</si>
  <si>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</si>
  <si>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</si>
  <si>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</si>
  <si>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</si>
  <si>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</si>
  <si>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</si>
  <si>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</si>
  <si>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</si>
  <si>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</si>
  <si>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</si>
  <si>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</si>
  <si>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</si>
  <si>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</si>
  <si>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</si>
  <si>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</si>
  <si>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</si>
  <si>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</si>
  <si>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</si>
  <si>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</si>
  <si>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</si>
  <si>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</si>
  <si>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</si>
  <si>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</si>
  <si>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</si>
  <si>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</si>
  <si>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</si>
  <si>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</si>
  <si>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</si>
  <si>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</si>
  <si>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</si>
  <si>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</si>
  <si>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</si>
  <si>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</si>
  <si>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</si>
  <si>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</si>
  <si>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</si>
  <si>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</si>
  <si>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</si>
  <si>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</si>
  <si>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</si>
  <si>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</si>
  <si>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</si>
  <si>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</si>
  <si>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</si>
  <si>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</si>
  <si>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</si>
  <si>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</si>
  <si>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</si>
  <si>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</si>
  <si>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</si>
  <si>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</si>
  <si>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</si>
  <si>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</si>
  <si>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</si>
  <si>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</si>
  <si>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</si>
  <si>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</si>
  <si>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</si>
  <si>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</si>
  <si>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</si>
  <si>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</si>
  <si>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</si>
  <si>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</si>
  <si>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</si>
  <si>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</si>
  <si>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</si>
  <si>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</si>
  <si>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</si>
  <si>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</si>
  <si>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</si>
  <si>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</si>
  <si>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</si>
  <si>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</si>
  <si>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</si>
  <si>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</si>
  <si>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</si>
  <si>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</si>
  <si>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</si>
  <si>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</si>
  <si>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</si>
  <si>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</si>
  <si>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</si>
  <si>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</si>
  <si>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</si>
  <si>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</si>
  <si>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</si>
  <si>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</si>
  <si>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</si>
  <si>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</si>
  <si>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</si>
  <si>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</si>
  <si>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</si>
  <si>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</si>
  <si>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</si>
  <si>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</si>
  <si>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</si>
  <si>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</si>
  <si>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</si>
  <si>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</si>
  <si>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</si>
  <si>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</si>
  <si>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</si>
  <si>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</si>
  <si>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</si>
  <si>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</si>
  <si>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</si>
  <si>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</si>
  <si>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</si>
  <si>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</si>
  <si>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</si>
  <si>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</si>
  <si>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</si>
  <si>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</si>
  <si>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</si>
  <si>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</si>
  <si>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</si>
  <si>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</si>
  <si>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</si>
  <si>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</si>
  <si>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</si>
  <si>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</si>
  <si>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</si>
  <si>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</si>
  <si>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</si>
  <si>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</si>
  <si>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</si>
  <si>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</si>
  <si>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</si>
  <si>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</si>
  <si>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</si>
  <si>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</si>
  <si>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</si>
  <si>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</si>
  <si>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</si>
  <si>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</si>
  <si>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</si>
  <si>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</si>
  <si>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</si>
  <si>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</si>
  <si>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</si>
  <si>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</si>
  <si>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</si>
  <si>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</si>
  <si>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</si>
  <si>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</si>
  <si>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</si>
  <si>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</si>
  <si>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</si>
  <si>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</si>
  <si>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</si>
  <si>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</si>
  <si>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</si>
  <si>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</si>
  <si>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</si>
  <si>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</si>
  <si>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</si>
  <si>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</si>
  <si>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</si>
  <si>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</si>
  <si>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</si>
  <si>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</si>
  <si>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</si>
  <si>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</si>
  <si>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</si>
  <si>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</si>
  <si>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</si>
  <si>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</si>
  <si>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</si>
  <si>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</si>
  <si>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</si>
  <si>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</si>
  <si>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</si>
  <si>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</si>
  <si>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</si>
  <si>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</si>
  <si>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</si>
  <si>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</si>
  <si>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</si>
  <si>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</si>
  <si>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</si>
  <si>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</si>
  <si>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</si>
  <si>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</si>
  <si>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</si>
  <si>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</si>
  <si>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</si>
  <si>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</si>
  <si>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</si>
  <si>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</si>
  <si>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</si>
  <si>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</si>
  <si>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</si>
  <si>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</si>
  <si>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</si>
  <si>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</si>
  <si>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</si>
  <si>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</si>
  <si>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</si>
  <si>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</si>
  <si>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</si>
  <si>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</si>
  <si>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</si>
  <si>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</si>
  <si>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</si>
  <si>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</si>
  <si>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</si>
  <si>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</si>
  <si>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</si>
  <si>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</si>
  <si>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</si>
  <si>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</si>
  <si>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</si>
  <si>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</si>
  <si>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</si>
  <si>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</si>
  <si>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</si>
  <si>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</si>
  <si>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</si>
  <si>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</si>
  <si>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</si>
  <si>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</si>
  <si>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</si>
  <si>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</si>
  <si>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</si>
  <si>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</si>
  <si>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</si>
  <si>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</si>
  <si>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</si>
  <si>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</si>
  <si>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</si>
  <si>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</si>
  <si>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</si>
  <si>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</si>
  <si>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</si>
  <si>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</si>
  <si>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</si>
  <si>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</si>
  <si>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</si>
  <si>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</si>
  <si>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</si>
  <si>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</si>
  <si>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</si>
  <si>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</si>
  <si>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</si>
  <si>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</si>
  <si>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</si>
  <si>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</si>
  <si>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</si>
  <si>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</si>
  <si>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</si>
  <si>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</si>
  <si>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</si>
  <si>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</si>
  <si>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</si>
  <si>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</si>
  <si>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</si>
  <si>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</si>
  <si>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</si>
  <si>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</si>
  <si>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</si>
  <si>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</si>
  <si>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</si>
  <si>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</si>
  <si>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</si>
  <si>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</si>
  <si>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</si>
  <si>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</si>
  <si>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</si>
  <si>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</si>
  <si>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</si>
  <si>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</si>
  <si>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</si>
  <si>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</si>
  <si>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</si>
  <si>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</si>
  <si>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</si>
  <si>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</si>
  <si>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</si>
  <si>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</si>
  <si>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</si>
  <si>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</si>
  <si>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</si>
  <si>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</si>
  <si>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</si>
  <si>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</si>
  <si>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</si>
  <si>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</si>
  <si>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</si>
  <si>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</si>
  <si>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</si>
  <si>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</si>
  <si>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</si>
  <si>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</si>
  <si>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</si>
  <si>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</si>
  <si>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</si>
  <si>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</si>
  <si>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</si>
  <si>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</si>
  <si>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</si>
  <si>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</si>
  <si>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</si>
  <si>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</si>
  <si>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</si>
  <si>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</si>
  <si>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</si>
  <si>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</si>
  <si>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</si>
  <si>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</si>
  <si>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</si>
  <si>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</si>
  <si>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</si>
  <si>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</si>
  <si>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</si>
  <si>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</si>
  <si>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</si>
  <si>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</si>
  <si>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</si>
  <si>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</si>
  <si>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</si>
  <si>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</si>
  <si>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</si>
  <si>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</si>
  <si>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</si>
  <si>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</si>
  <si>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</si>
  <si>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</si>
  <si>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</si>
  <si>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</si>
  <si>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</si>
  <si>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</si>
  <si>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</si>
  <si>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</si>
  <si>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</si>
  <si>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</si>
  <si>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</si>
  <si>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</si>
  <si>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</si>
  <si>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</si>
  <si>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</si>
  <si>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</si>
  <si>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</si>
  <si>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</si>
  <si>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</si>
  <si>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</si>
  <si>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</si>
  <si>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</si>
  <si>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</si>
  <si>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</si>
  <si>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</si>
  <si>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</si>
  <si>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</si>
  <si>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</si>
  <si>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</si>
  <si>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</si>
  <si>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</si>
  <si>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</si>
  <si>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</si>
  <si>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</si>
  <si>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</si>
  <si>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</si>
  <si>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</si>
  <si>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</si>
  <si>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</si>
  <si>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</si>
  <si>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</si>
  <si>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</si>
  <si>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</si>
  <si>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</si>
  <si>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</si>
  <si>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</si>
  <si>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</si>
  <si>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</si>
  <si>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</si>
  <si>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</si>
  <si>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</si>
  <si>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</si>
  <si>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</si>
  <si>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</si>
  <si>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</si>
  <si>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</si>
  <si>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</si>
  <si>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</si>
  <si>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</si>
  <si>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</si>
  <si>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</si>
  <si>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</si>
  <si>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</si>
  <si>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</si>
  <si>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</si>
  <si>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</si>
  <si>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</si>
  <si>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</si>
  <si>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</si>
  <si>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</si>
  <si>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</si>
  <si>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</si>
  <si>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</si>
  <si>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</si>
  <si>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</si>
  <si>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</si>
  <si>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</si>
  <si>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</si>
  <si>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</si>
  <si>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</si>
  <si>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</si>
  <si>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</si>
  <si>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</si>
  <si>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</si>
  <si>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</si>
  <si>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</si>
  <si>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</si>
  <si>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</si>
  <si>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</si>
  <si>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</si>
  <si>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</si>
  <si>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</si>
  <si>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</si>
  <si>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</si>
  <si>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</si>
  <si>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</si>
  <si>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</si>
  <si>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</si>
  <si>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</si>
  <si>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</si>
  <si>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</si>
  <si>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</si>
  <si>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</si>
  <si>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</si>
  <si>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</si>
  <si>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</si>
  <si>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</si>
  <si>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</si>
  <si>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</si>
  <si>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</si>
  <si>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</si>
  <si>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</si>
  <si>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</si>
  <si>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</si>
  <si>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</si>
  <si>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</si>
  <si>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</si>
  <si>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</si>
  <si>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</si>
  <si>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</si>
  <si>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</si>
  <si>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</si>
  <si>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</si>
  <si>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</si>
  <si>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</si>
  <si>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</si>
  <si>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</si>
  <si>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</si>
  <si>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</si>
  <si>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</si>
  <si>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</si>
  <si>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</si>
  <si>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</si>
  <si>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</si>
  <si>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</si>
  <si>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</si>
  <si>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</si>
  <si>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</si>
  <si>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</si>
  <si>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</si>
  <si>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</si>
  <si>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</si>
  <si>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</si>
  <si>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</si>
  <si>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</si>
  <si>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</si>
  <si>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</si>
  <si>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</si>
  <si>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</si>
  <si>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</si>
  <si>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</si>
  <si>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</si>
  <si>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</si>
  <si>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</si>
  <si>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</si>
  <si>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</si>
  <si>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</si>
  <si>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</si>
  <si>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</si>
  <si>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</si>
  <si>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</si>
  <si>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</si>
  <si>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</si>
  <si>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</si>
  <si>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</si>
  <si>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</si>
  <si>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</si>
  <si>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</si>
  <si>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</si>
  <si>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</si>
  <si>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</si>
  <si>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</si>
  <si>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</si>
  <si>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</si>
  <si>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</si>
  <si>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</si>
  <si>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</si>
  <si>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</si>
  <si>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</si>
  <si>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</si>
  <si>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</si>
  <si>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</si>
  <si>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</si>
  <si>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</si>
  <si>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</si>
  <si>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</si>
  <si>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</si>
  <si>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</si>
  <si>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</si>
  <si>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</si>
  <si>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</si>
  <si>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</si>
  <si>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</si>
  <si>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</si>
  <si>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</si>
  <si>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</si>
  <si>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</si>
  <si>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</si>
  <si>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</si>
  <si>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</si>
  <si>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</si>
  <si>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</si>
  <si>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</si>
  <si>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</si>
  <si>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</si>
  <si>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</si>
  <si>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</si>
  <si>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</si>
  <si>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</si>
  <si>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</si>
  <si>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</si>
  <si>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</si>
  <si>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</si>
  <si>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</si>
  <si>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</si>
  <si>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</si>
  <si>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</si>
  <si>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</si>
  <si>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</si>
  <si>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</si>
  <si>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</si>
  <si>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</si>
  <si>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</si>
  <si>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</si>
  <si>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</si>
  <si>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</si>
  <si>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</si>
  <si>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</si>
  <si>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</si>
  <si>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</si>
  <si>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</si>
  <si>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</si>
  <si>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</si>
  <si>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</si>
  <si>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</si>
  <si>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</si>
  <si>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</si>
  <si>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</si>
  <si>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</si>
  <si>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</si>
  <si>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</si>
  <si>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</si>
  <si>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</si>
  <si>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</si>
  <si>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</si>
  <si>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</si>
  <si>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</si>
  <si>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</si>
  <si>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</si>
  <si>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</si>
  <si>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</si>
  <si>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</si>
  <si>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</si>
  <si>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</si>
  <si>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</si>
  <si>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</si>
  <si>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</si>
  <si>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</si>
  <si>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</si>
  <si>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</si>
  <si>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</si>
  <si>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</si>
  <si>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</si>
  <si>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</si>
  <si>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</si>
  <si>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</si>
  <si>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</si>
  <si>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</si>
  <si>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</si>
  <si>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</si>
  <si>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</si>
  <si>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</si>
  <si>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</si>
  <si>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</si>
  <si>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</si>
  <si>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</si>
  <si>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</si>
  <si>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</si>
  <si>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</si>
  <si>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</si>
  <si>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</si>
  <si>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</si>
  <si>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</si>
  <si>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</si>
  <si>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</si>
  <si>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</si>
  <si>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</si>
  <si>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</si>
  <si>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</si>
  <si>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</si>
  <si>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</si>
  <si>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</si>
  <si>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</si>
  <si>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</si>
  <si>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</si>
  <si>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</si>
  <si>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</si>
  <si>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</si>
  <si>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</si>
  <si>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</si>
  <si>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</si>
  <si>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</si>
  <si>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</si>
  <si>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</si>
  <si>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</si>
  <si>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</si>
  <si>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</si>
  <si>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</si>
  <si>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</si>
  <si>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</si>
  <si>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</si>
  <si>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</si>
  <si>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</si>
  <si>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</si>
  <si>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</si>
  <si>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</si>
  <si>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</si>
  <si>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</si>
  <si>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</si>
  <si>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</si>
  <si>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</si>
  <si>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</si>
  <si>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</si>
  <si>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</si>
  <si>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</si>
  <si>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</si>
  <si>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</si>
  <si>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</si>
  <si>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</si>
  <si>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</si>
  <si>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</si>
  <si>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</si>
  <si>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</si>
  <si>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</si>
  <si>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</si>
  <si>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</si>
  <si>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</si>
  <si>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</si>
  <si>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</si>
  <si>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</si>
  <si>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</si>
  <si>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</si>
  <si>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</si>
  <si>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</si>
  <si>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</si>
  <si>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</si>
  <si>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</si>
  <si>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</si>
  <si>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</si>
  <si>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</si>
  <si>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</si>
  <si>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</si>
  <si>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</si>
  <si>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</si>
  <si>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</si>
  <si>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</si>
  <si>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</si>
  <si>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</si>
  <si>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</si>
  <si>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</si>
  <si>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</si>
  <si>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</si>
  <si>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</si>
  <si>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</si>
  <si>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</si>
  <si>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</si>
  <si>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</si>
  <si>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</si>
  <si>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</si>
  <si>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</si>
  <si>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</si>
  <si>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</si>
  <si>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</si>
  <si>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</si>
  <si>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</si>
  <si>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</si>
  <si>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</si>
  <si>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</si>
  <si>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</si>
  <si>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</si>
  <si>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</si>
  <si>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</si>
  <si>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</si>
  <si>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</si>
  <si>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</si>
  <si>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</si>
  <si>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</si>
  <si>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</si>
  <si>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</si>
  <si>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</si>
  <si>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</si>
  <si>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</si>
  <si>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</si>
  <si>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</si>
  <si>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</si>
  <si>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</si>
  <si>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</si>
  <si>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</si>
  <si>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</si>
  <si>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</si>
  <si>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</si>
  <si>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</si>
  <si>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</si>
  <si>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</si>
  <si>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</si>
  <si>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</si>
  <si>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</si>
  <si>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</si>
  <si>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</si>
  <si>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</si>
  <si>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</si>
  <si>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</si>
  <si>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</si>
  <si>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</si>
  <si>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</si>
  <si>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</si>
  <si>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</si>
  <si>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</si>
  <si>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</si>
  <si>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</si>
  <si>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</si>
  <si>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</si>
  <si>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</si>
  <si>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</si>
  <si>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</si>
  <si>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</si>
  <si>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</si>
  <si>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</si>
  <si>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</si>
  <si>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</si>
  <si>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</si>
  <si>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</si>
  <si>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</si>
  <si>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</si>
  <si>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</si>
  <si>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</si>
  <si>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</si>
  <si>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</si>
  <si>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</si>
  <si>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</si>
  <si>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</si>
  <si>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</si>
  <si>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</si>
  <si>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</si>
  <si>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</si>
  <si>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</si>
  <si>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</si>
  <si>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</si>
  <si>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</si>
  <si>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</si>
  <si>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</si>
  <si>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</si>
  <si>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</si>
  <si>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</si>
  <si>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</si>
  <si>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</si>
  <si>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</si>
  <si>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</si>
  <si>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</si>
  <si>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</si>
  <si>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</si>
  <si>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</si>
  <si>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</si>
  <si>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</si>
  <si>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</si>
  <si>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</si>
  <si>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</si>
  <si>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</si>
  <si>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</si>
  <si>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</si>
  <si>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</si>
  <si>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</si>
  <si>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</si>
  <si>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</si>
  <si>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</si>
  <si>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</si>
  <si>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</si>
  <si>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</si>
  <si>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</si>
  <si>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</si>
  <si>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</si>
  <si>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</si>
  <si>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</si>
  <si>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</si>
  <si>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</si>
  <si>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</si>
  <si>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</si>
  <si>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</si>
  <si>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</si>
  <si>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</si>
  <si>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</si>
  <si>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</si>
  <si>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</si>
  <si>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</si>
  <si>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</si>
  <si>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</si>
  <si>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</si>
  <si>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</si>
  <si>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</si>
  <si>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</si>
  <si>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</si>
  <si>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</si>
  <si>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</si>
  <si>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</si>
  <si>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</si>
  <si>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</si>
  <si>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</si>
  <si>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</si>
  <si>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</si>
  <si>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</si>
  <si>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</si>
  <si>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</si>
  <si>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</si>
  <si>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</si>
  <si>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</si>
  <si>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</si>
  <si>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</si>
  <si>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</si>
  <si>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</si>
  <si>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</si>
  <si>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</si>
  <si>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</si>
  <si>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</si>
  <si>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</si>
  <si>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</si>
  <si>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</si>
  <si>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</si>
  <si>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</si>
  <si>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</si>
  <si>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</si>
  <si>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</si>
  <si>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</si>
  <si>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</si>
  <si>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</si>
  <si>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</si>
  <si>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</si>
  <si>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</si>
  <si>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</si>
  <si>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</si>
  <si>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</si>
  <si>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</si>
  <si>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</si>
  <si>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</si>
  <si>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</si>
  <si>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</si>
  <si>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</si>
  <si>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</si>
  <si>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</si>
  <si>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</si>
  <si>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</si>
  <si>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</si>
  <si>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</si>
  <si>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</si>
  <si>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</si>
  <si>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</si>
  <si>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</si>
  <si>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</si>
  <si>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</si>
  <si>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</si>
  <si>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</si>
  <si>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</si>
  <si>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</si>
  <si>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</si>
  <si>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</si>
  <si>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</si>
  <si>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</si>
  <si>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</si>
  <si>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</si>
  <si>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</si>
  <si>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</si>
  <si>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MC1 09h10 / Devido interdição na via ZKEZGA1, Alterado programação para solicitar MC1 em ZYU /</t>
  </si>
  <si>
    <t>MC1 09h10 / Devido interdição na via ZKEZGA1, Alterado programação para solicitar MC1 em ZYU / Em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</si>
  <si>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</si>
  <si>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</si>
  <si>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</si>
  <si>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</si>
  <si>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</si>
  <si>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</si>
  <si>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</si>
  <si>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</si>
  <si>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deslocamento para km de descarga.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</si>
  <si>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</si>
  <si>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</si>
  <si>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</si>
  <si>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</si>
  <si>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</si>
  <si>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</si>
  <si>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</si>
  <si>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</si>
  <si>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V96 solicita MC1 em K67ZEV-2 às 07h20 e circula em licença até o KM 156+900 em 157156-1</t>
  </si>
  <si>
    <t>W97 solicita MC1 em ZEM-1 às 07h00 e circula em licença até o KM 154+350 em 155154-1;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</si>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</sst>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430" activePane="bottomRight" state="frozen"/>
      <selection pane="bottomRight" activeCell="B447" sqref="B44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/>
      <c r="BN417" s="15"/>
      <c r="BO417" s="165"/>
      <c r="BP417" s="17"/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/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1544</v>
      </c>
      <c r="BK423" s="17" t="s">
        <v>1545</v>
      </c>
      <c r="BL423" s="16"/>
      <c r="BM423" s="15"/>
      <c r="BN423" s="15"/>
      <c r="BO423" s="165"/>
      <c r="BP423" s="17"/>
      <c r="BQ423" s="13" t="str">
        <f t="shared" si="39"/>
        <v>Produção</v>
      </c>
      <c r="BR423" s="19">
        <f t="shared" si="40"/>
        <v>1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1546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1547</v>
      </c>
      <c r="BK425" s="17" t="s">
        <v>1547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1547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1548</v>
      </c>
      <c r="BK426" s="17" t="s">
        <v>1548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1548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1548</v>
      </c>
      <c r="BK427" s="17" t="s">
        <v>1548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1548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1548</v>
      </c>
      <c r="BK428" s="17" t="s">
        <v>1548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1548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1548</v>
      </c>
      <c r="BK429" s="17" t="s">
        <v>1548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1548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1548</v>
      </c>
      <c r="BK430" s="17" t="s">
        <v>1548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1548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1548</v>
      </c>
      <c r="BK431" s="17" t="s">
        <v>1548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1548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1549</v>
      </c>
      <c r="BK432" s="17" t="s">
        <v>1550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1550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1</v>
      </c>
      <c r="BI437" s="17"/>
      <c r="BJ437" s="17" t="s">
        <v>993</v>
      </c>
      <c r="BK437" s="17" t="s">
        <v>1551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1551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1552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1</v>
      </c>
      <c r="BI439" s="17"/>
      <c r="BJ439" s="17" t="s">
        <v>1553</v>
      </c>
      <c r="BK439" s="17" t="s">
        <v>1554</v>
      </c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1555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1556</v>
      </c>
      <c r="BK441" s="17" t="s">
        <v>1557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1557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1558</v>
      </c>
      <c r="BK442" s="17" t="s">
        <v>1558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1558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1559</v>
      </c>
      <c r="BK443" s="17" t="s">
        <v>1559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1559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1560</v>
      </c>
      <c r="BK444" s="17" t="s">
        <v>1560</v>
      </c>
      <c r="BL444" s="16"/>
      <c r="BM444" s="15" t="s">
        <v>696</v>
      </c>
      <c r="BN444" s="15" t="s">
        <v>696</v>
      </c>
      <c r="BO444" s="165" t="s">
        <v>696</v>
      </c>
      <c r="BP444" s="17"/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>V8946010</v>
      </c>
      <c r="B446" s="171">
        <v>46010</v>
      </c>
      <c r="C446" s="8">
        <f>IF(BS_CONTROLE[[#This Row],[DATA]]="","",WEEKNUM(BS_CONTROLE[[#This Row],[DATA]]))</f>
        <v>51</v>
      </c>
      <c r="D446" s="320" t="s">
        <v>522</v>
      </c>
      <c r="E446" s="314">
        <v>171</v>
      </c>
      <c r="F446" s="71" t="s">
        <v>421</v>
      </c>
      <c r="G446" s="9" t="str">
        <f>IF(D446="","*",VLOOKUP(F446,BS_ATIVIDADE[#All],3,FALSE))</f>
        <v>MECANIZAÇÃO - SOCADORA</v>
      </c>
      <c r="H446" s="173" t="s">
        <v>102</v>
      </c>
      <c r="I446" s="173" t="s">
        <v>102</v>
      </c>
      <c r="J446" s="217">
        <v>56</v>
      </c>
      <c r="K446" s="217">
        <v>225.3</v>
      </c>
      <c r="L446" s="217">
        <v>229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46" s="173">
        <v>0.39583333333333331</v>
      </c>
      <c r="P446" s="173">
        <v>8.3333333333333329E-2</v>
      </c>
      <c r="Q446" s="84">
        <v>480</v>
      </c>
      <c r="R446" s="10" t="str">
        <f>IFERROR(_xlfn.XLOOKUP(F446, BS_ATIVIDADE[ATIVIDADE],BS_ATIVIDADE[UNIDADE] ), "*")</f>
        <v>M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6" s="81" t="str">
        <f>IFERROR(_xlfn.XLOOKUP(J446, BASE_MAPA!$D$2:$D$260, BASE_MAPA!$I$2:$I$260), "ERRO")</f>
        <v>ZGA</v>
      </c>
      <c r="V446" s="261" t="s">
        <v>928</v>
      </c>
      <c r="W446" s="261" t="s">
        <v>1097</v>
      </c>
      <c r="X446" s="218" t="s">
        <v>666</v>
      </c>
      <c r="Y446" s="158"/>
      <c r="Z446" s="158"/>
      <c r="AA446" s="217">
        <v>1</v>
      </c>
      <c r="AB446" s="71" t="s">
        <v>657</v>
      </c>
      <c r="AC446" s="71" t="s">
        <v>652</v>
      </c>
      <c r="AD446" s="316">
        <v>0.33333333333333331</v>
      </c>
      <c r="AE446" s="217">
        <v>6809</v>
      </c>
      <c r="AF446" s="217">
        <v>6239</v>
      </c>
      <c r="AG446" s="217" t="s">
        <v>317</v>
      </c>
      <c r="AH446" s="49"/>
      <c r="AI446" s="142" t="str">
        <f>IF(BS_CONTROLE[[#This Row],[Atividade]]=0, "-", BS_CONTROLE[[#This Row],[Atividade]])</f>
        <v>MECANIZAÇÃO - SOCADORA</v>
      </c>
      <c r="AJ446" s="9" t="str">
        <f>IF(D446="","*",VLOOKUP(AI446,BS_ATIVIDADE[#Data],3,FALSE))</f>
        <v>MECANIZAÇÃO - SOCADORA</v>
      </c>
      <c r="AK446" s="258" t="str">
        <f>IF(BS_CONTROLE[[#This Row],[Local - Partida]]=0, "-", BS_CONTROLE[[#This Row],[Local - Partida]])</f>
        <v>ZYU1</v>
      </c>
      <c r="AL446" s="258" t="str">
        <f>IF(BS_CONTROLE[[#This Row],[Local - Encerramento]]=0, "-", BS_CONTROLE[[#This Row],[Local - Encerramento]])</f>
        <v>ZYU1</v>
      </c>
      <c r="AM446" s="258" t="str">
        <f>IF(BS_CONTROLE[[#This Row],[Entre - Estações]]=0, "-", BS_CONTROLE[[#This Row],[Entre - Estações]])</f>
        <v>ZXI-ZVK</v>
      </c>
      <c r="AN446" s="258" t="str">
        <f>IF(BS_CONTROLE[[#This Row],[SB]]=0, "-", BS_CONTROLE[[#This Row],[SB]])</f>
        <v>ZIC2</v>
      </c>
      <c r="AO446" s="259">
        <f>IF(BS_CONTROLE[[#This Row],[SUB]]=0, "-", BS_CONTROLE[[#This Row],[SUB]])</f>
        <v>56</v>
      </c>
      <c r="AP446" s="260">
        <f>IF(BS_CONTROLE[[#This Row],[KM - Inicio]]=0, "-", BS_CONTROLE[[#This Row],[KM - Inicio]])</f>
        <v>225.3</v>
      </c>
      <c r="AQ446" s="260">
        <f>IF(BS_CONTROLE[[#This Row],[KM - Fim]]=0, "-", BS_CONTROLE[[#This Row],[KM - Fim]])</f>
        <v>229</v>
      </c>
      <c r="AR446" s="39"/>
      <c r="AS446" s="39"/>
      <c r="AT446" s="39"/>
      <c r="AU446" s="39"/>
      <c r="AV446" s="39"/>
      <c r="AW446" s="39"/>
      <c r="AX446" s="39"/>
      <c r="AY446" s="293">
        <f t="shared" si="44"/>
        <v>0</v>
      </c>
      <c r="AZ446" s="14"/>
      <c r="BA446" s="72"/>
      <c r="BB446" s="10" t="str">
        <f>IFERROR(_xlfn.XLOOKUP(AI446, BS_ATIVIDADE[ATIVIDADE],BS_ATIVIDADE[UNIDADE] ), "*")</f>
        <v>M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6" s="11" t="str">
        <f>IFERROR(_xlfn.XLOOKUP(AO446, BASE_MAPA!$D$2:$D$260, BASE_MAPA!$I$2:$I$260), "ERRO")</f>
        <v>ZGA</v>
      </c>
      <c r="BF446" s="261" t="str">
        <f>IF(BS_CONTROLE[[#This Row],[Responsavel pelo boletim]]=0, "-", BS_CONTROLE[[#This Row],[Responsavel pelo boletim]])</f>
        <v>Saulo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Produção e Intervalo</v>
      </c>
      <c r="BR446" s="19">
        <f t="shared" si="46"/>
        <v>0</v>
      </c>
      <c r="BS446" s="19">
        <f t="shared" si="47"/>
        <v>0</v>
      </c>
      <c r="BT446" s="225" t="str">
        <f t="shared" si="48"/>
        <v/>
      </c>
    </row>
    <row r="447" spans="1:72" hidden="1">
      <c r="A447" s="51" t="str">
        <f t="shared" si="43"/>
        <v>EDSON (TP-780)46010</v>
      </c>
      <c r="B447" s="171">
        <v>46010</v>
      </c>
      <c r="C447" s="8">
        <f>IF(BS_CONTROLE[[#This Row],[DATA]]="","",WEEKNUM(BS_CONTROLE[[#This Row],[DATA]]))</f>
        <v>51</v>
      </c>
      <c r="D447" s="218" t="s">
        <v>588</v>
      </c>
      <c r="E447" s="314">
        <v>78</v>
      </c>
      <c r="F447" s="172" t="s">
        <v>502</v>
      </c>
      <c r="G447" s="9" t="str">
        <f>IF(D447="","*",VLOOKUP(F447,BS_ATIVIDADE[#All],3,FALSE))</f>
        <v>DORMENTE - SUBSTITUIÇÂO</v>
      </c>
      <c r="H447" s="173" t="s">
        <v>317</v>
      </c>
      <c r="I447" s="173" t="s">
        <v>317</v>
      </c>
      <c r="J447" s="217">
        <v>49</v>
      </c>
      <c r="K447" s="217">
        <v>203.1</v>
      </c>
      <c r="L447" s="84" t="s">
        <v>317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7" s="173">
        <v>0.41666666666666669</v>
      </c>
      <c r="P447" s="173">
        <v>6.25E-2</v>
      </c>
      <c r="Q447" s="84">
        <v>15</v>
      </c>
      <c r="R447" s="10" t="str">
        <f>IFERROR(_xlfn.XLOOKUP(F447, BS_ATIVIDADE[ATIVIDADE],BS_ATIVIDADE[UNIDADE] ), "*")</f>
        <v>Nº DE DORMENTES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7" s="81" t="str">
        <f>IFERROR(_xlfn.XLOOKUP(J447, BASE_MAPA!$D$2:$D$260, BASE_MAPA!$I$2:$I$260), "ERRO")</f>
        <v>ZKE-ZGA</v>
      </c>
      <c r="V447" s="198" t="s">
        <v>924</v>
      </c>
      <c r="W447" s="261" t="s">
        <v>935</v>
      </c>
      <c r="X447" s="218" t="s">
        <v>666</v>
      </c>
      <c r="Y447" s="158"/>
      <c r="Z447" s="158"/>
      <c r="AA447" s="84" t="s">
        <v>317</v>
      </c>
      <c r="AB447" s="71" t="s">
        <v>317</v>
      </c>
      <c r="AC447" s="71"/>
      <c r="AD447" s="173" t="s">
        <v>317</v>
      </c>
      <c r="AE447" s="84" t="s">
        <v>317</v>
      </c>
      <c r="AF447" s="84" t="s">
        <v>317</v>
      </c>
      <c r="AG447" s="84" t="s">
        <v>317</v>
      </c>
      <c r="AH447" s="49"/>
      <c r="AI447" s="142" t="str">
        <f>IF(BS_CONTROLE[[#This Row],[Atividade]]=0, "-", BS_CONTROLE[[#This Row],[Atividade]])</f>
        <v>PDM - SUBSTITUIÇÃO - DORMENTE</v>
      </c>
      <c r="AJ447" s="9" t="str">
        <f>IF(D447="","*",VLOOKUP(AI447,BS_ATIVIDADE[#Data],3,FALSE))</f>
        <v>DORMENTE - SUBSTITUIÇÂO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ZYU</v>
      </c>
      <c r="AN447" s="258" t="str">
        <f>IF(BS_CONTROLE[[#This Row],[SB]]=0, "-", BS_CONTROLE[[#This Row],[SB]])</f>
        <v>ZYU1</v>
      </c>
      <c r="AO447" s="259">
        <f>IF(BS_CONTROLE[[#This Row],[SUB]]=0, "-", BS_CONTROLE[[#This Row],[SUB]])</f>
        <v>49</v>
      </c>
      <c r="AP447" s="260">
        <f>IF(BS_CONTROLE[[#This Row],[KM - Inicio]]=0, "-", BS_CONTROLE[[#This Row],[KM - Inicio]])</f>
        <v>203.1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>
        <f t="shared" si="44"/>
        <v>0</v>
      </c>
      <c r="AZ447" s="14"/>
      <c r="BA447" s="72"/>
      <c r="BB447" s="10" t="str">
        <f>IFERROR(_xlfn.XLOOKUP(AI447, BS_ATIVIDADE[ATIVIDADE],BS_ATIVIDADE[UNIDADE] ), "*")</f>
        <v>Nº DE DORMENTES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7" s="11" t="str">
        <f>IFERROR(_xlfn.XLOOKUP(AO447, BASE_MAPA!$D$2:$D$260, BASE_MAPA!$I$2:$I$260), "ERRO")</f>
        <v>ZKE-ZGA</v>
      </c>
      <c r="BF447" s="261" t="str">
        <f>IF(BS_CONTROLE[[#This Row],[Responsavel pelo boletim]]=0, "-", BS_CONTROLE[[#This Row],[Responsavel pelo boletim]])</f>
        <v>Jonas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Produção e Intervalo</v>
      </c>
      <c r="BR447" s="19">
        <f t="shared" si="46"/>
        <v>0</v>
      </c>
      <c r="BS447" s="19">
        <f t="shared" si="47"/>
        <v>0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>W6046010</v>
      </c>
      <c r="B456" s="171">
        <v>46010</v>
      </c>
      <c r="C456" s="8"/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/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>MOD ZRB ZEV46010</v>
      </c>
      <c r="B458" s="171">
        <v>46010</v>
      </c>
      <c r="C458" s="8"/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0.33333333333333331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1561</v>
      </c>
      <c r="X458" s="52" t="s">
        <v>661</v>
      </c>
      <c r="Y458" s="158"/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1562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/>
      <c r="AS458" s="242"/>
      <c r="AT458" s="242"/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</v>
      </c>
      <c r="AZ458" s="14"/>
      <c r="BA458" s="72"/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</v>
      </c>
      <c r="BS458" s="19">
        <f>IF(OR(B458="",F458=""),"*",BA458/Q458)</f>
        <v>0</v>
      </c>
      <c r="BT458" s="225" t="str">
        <f t="shared" si="48"/>
        <v/>
      </c>
    </row>
    <row r="459" spans="1:72" hidden="1">
      <c r="A459" s="167" t="str">
        <f t="shared" si="50"/>
        <v>V9646010</v>
      </c>
      <c r="B459" s="171">
        <v>46010</v>
      </c>
      <c r="C459" s="8"/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1563</v>
      </c>
      <c r="X459" s="52" t="s">
        <v>661</v>
      </c>
      <c r="Y459" s="158"/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0</v>
      </c>
      <c r="AZ459" s="14"/>
      <c r="BA459" s="72"/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Produção e Intervalo</v>
      </c>
      <c r="BR459" s="19">
        <f>IF(OR(B459="",F459=""),"*",AY459/P459)</f>
        <v>0</v>
      </c>
      <c r="BS459" s="19">
        <f>IF(OR(B459="",F459=""),"*",BA459/Q459)</f>
        <v>0</v>
      </c>
      <c r="BT459" s="225" t="str">
        <f t="shared" si="48"/>
        <v/>
      </c>
    </row>
    <row r="460" spans="1:72" hidden="1">
      <c r="A460" s="167" t="str">
        <f t="shared" si="50"/>
        <v>W9746010</v>
      </c>
      <c r="B460" s="171">
        <v>46010</v>
      </c>
      <c r="C460" s="8"/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1564</v>
      </c>
      <c r="X460" s="52" t="s">
        <v>661</v>
      </c>
      <c r="Y460" s="158"/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0</v>
      </c>
      <c r="AZ460" s="14"/>
      <c r="BA460" s="72"/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Produção e Intervalo</v>
      </c>
      <c r="BR460" s="19">
        <f>IF(OR(B460="",F460=""),"*",AY460/P460)</f>
        <v>0</v>
      </c>
      <c r="BS460" s="19">
        <f>IF(OR(B460="",F460=""),"*",BA460/Q460)</f>
        <v>0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>JACIANO (TF-674)46010</v>
      </c>
      <c r="B463" s="171">
        <v>46010</v>
      </c>
      <c r="C463" s="8"/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/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idden="1">
      <c r="A464" s="167" t="str">
        <f t="shared" si="50"/>
        <v>W6146010</v>
      </c>
      <c r="B464" s="171">
        <v>46010</v>
      </c>
      <c r="C464" s="8"/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/>
      <c r="Z464" s="158"/>
      <c r="AA464" s="84">
        <v>1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 hidden="1">
      <c r="A465" s="167" t="str">
        <f t="shared" si="50"/>
        <v>MOD ZGP46010</v>
      </c>
      <c r="B465" s="171">
        <v>46010</v>
      </c>
      <c r="C465" s="8"/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1565</v>
      </c>
      <c r="X465" s="52" t="s">
        <v>661</v>
      </c>
      <c r="Y465" s="158"/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/>
      <c r="AS465" s="242"/>
      <c r="AT465" s="242"/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</v>
      </c>
      <c r="AZ465" s="14"/>
      <c r="BA465" s="72"/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</v>
      </c>
      <c r="BS465" s="19">
        <f>IF(OR(B465="",F465=""),"*",BA465/Q465)</f>
        <v>0</v>
      </c>
      <c r="BT465" s="225" t="str">
        <f t="shared" si="48"/>
        <v/>
      </c>
    </row>
    <row r="466" spans="1:72" hidden="1">
      <c r="A466" s="167" t="str">
        <f t="shared" si="50"/>
        <v>V8546010</v>
      </c>
      <c r="B466" s="171">
        <v>46010</v>
      </c>
      <c r="C466" s="8"/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/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/>
      <c r="AS466" s="242"/>
      <c r="AT466" s="242"/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0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 e Intervalo</v>
      </c>
      <c r="BR466" s="19">
        <f>IF(OR(B466="",F466=""),"*",AY466/P466)</f>
        <v>0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0"/>
        <v>W6246010</v>
      </c>
      <c r="B467" s="171">
        <v>46010</v>
      </c>
      <c r="C467" s="8"/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/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/>
      <c r="AS467" s="242"/>
      <c r="AT467" s="242"/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0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 e Intervalo</v>
      </c>
      <c r="BR467" s="19">
        <f>IF(OR(B467="",F467=""),"*",AY467/P467)</f>
        <v>0</v>
      </c>
      <c r="BS467" s="19">
        <f>IF(OR(B467="",F467=""),"*",BA467/Q467)</f>
        <v>0</v>
      </c>
      <c r="BT467" s="225" t="str">
        <f t="shared" si="48"/>
        <v/>
      </c>
    </row>
    <row r="468" spans="1:72" hidden="1">
      <c r="A468" s="167" t="str">
        <f t="shared" si="50"/>
        <v>A8446010</v>
      </c>
      <c r="B468" s="171">
        <v>46010</v>
      </c>
      <c r="C468" s="8"/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1168</v>
      </c>
      <c r="X468" s="52" t="s">
        <v>666</v>
      </c>
      <c r="Y468" s="158"/>
      <c r="Z468" s="158"/>
      <c r="AA468" s="144">
        <v>1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/>
      <c r="AS468" s="242"/>
      <c r="AT468" s="242"/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0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 e Intervalo</v>
      </c>
      <c r="BR468" s="19">
        <f>IF(OR(B468="",F468=""),"*",AY468/P468)</f>
        <v>0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0"/>
        <v>EDSON (TP-719)46010</v>
      </c>
      <c r="B469" s="171">
        <v>46010</v>
      </c>
      <c r="C469" s="8"/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/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0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Produção e Intervalo</v>
      </c>
      <c r="BR469" s="19">
        <f>IF(OR(B469="",F469=""),"*",AY469/P469)</f>
        <v>0</v>
      </c>
      <c r="BS469" s="19">
        <f>IF(OR(B469="",F469=""),"*",BA469/Q469)</f>
        <v>0</v>
      </c>
      <c r="BT469" s="225" t="str">
        <f t="shared" si="48"/>
        <v/>
      </c>
    </row>
    <row r="470" spans="1:72" hidden="1">
      <c r="A470" s="167" t="str">
        <f t="shared" si="50"/>
        <v>HUELTON (TP-725)46010</v>
      </c>
      <c r="B470" s="171">
        <v>46010</v>
      </c>
      <c r="C470" s="8"/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/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0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Produção e Intervalo</v>
      </c>
      <c r="BR470" s="19">
        <f>IF(OR(B470="",F470=""),"*",AY470/P470)</f>
        <v>0</v>
      </c>
      <c r="BS470" s="19">
        <f>IF(OR(B470="",F470=""),"*",BA470/Q470)</f>
        <v>0</v>
      </c>
      <c r="BT470" s="225" t="str">
        <f t="shared" si="48"/>
        <v/>
      </c>
    </row>
    <row r="471" spans="1:72" hidden="1">
      <c r="A471" s="167" t="str">
        <f t="shared" si="50"/>
        <v>DIEGO (TF-42)</v>
      </c>
      <c r="B471" s="168"/>
      <c r="C471" s="8"/>
      <c r="D471" s="52" t="s">
        <v>581</v>
      </c>
      <c r="E471" s="314">
        <v>46</v>
      </c>
      <c r="F471" s="172" t="s">
        <v>992</v>
      </c>
      <c r="G471" s="9" t="e">
        <f>IF(D471="","*",VLOOKUP(F471,BS_ATIVIDADE[#All],3,FALSE))</f>
        <v>#N/A</v>
      </c>
      <c r="H471" s="173" t="s">
        <v>317</v>
      </c>
      <c r="I471" s="173" t="s">
        <v>317</v>
      </c>
      <c r="J471" s="217">
        <v>53</v>
      </c>
      <c r="K471" s="217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73">
        <v>0.45833333333333331</v>
      </c>
      <c r="P471" s="173">
        <v>8.3333333333333329E-2</v>
      </c>
      <c r="Q471" s="84">
        <v>15</v>
      </c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962</v>
      </c>
      <c r="W471" s="173" t="s">
        <v>932</v>
      </c>
      <c r="X471" s="52" t="s">
        <v>666</v>
      </c>
      <c r="Y471" s="158"/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LASTRO</v>
      </c>
      <c r="AJ471" s="9" t="e">
        <f>IF(D471="","*",VLOOKUP(AI471,BS_ATIVIDADE[#Data],3,FALSE))</f>
        <v>#N/A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8:Y451 X446:Y447 V44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51 Z446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" name="Range1_14_1_1_1"/>
    <protectedRange sqref="F6:F7 F25 F14 F31:F32 F56:F57 F80:F81 F113 F107:F108 F159:F160 F169 F187:F188 F218 F220 F251 F253 F261 F283 F287 F337 F341 F364 F368 F393 F416 F446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1566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1567</v>
      </c>
      <c r="C4" s="331" t="s">
        <v>1568</v>
      </c>
      <c r="D4" s="331" t="s">
        <v>1569</v>
      </c>
      <c r="E4" s="331" t="s">
        <v>1570</v>
      </c>
      <c r="F4" s="331" t="s">
        <v>8</v>
      </c>
      <c r="G4" s="331" t="s">
        <v>1571</v>
      </c>
    </row>
    <row r="5" spans="2:8">
      <c r="B5" s="334" t="s">
        <v>1152</v>
      </c>
      <c r="C5" s="334">
        <v>314978</v>
      </c>
      <c r="D5" s="334" t="s">
        <v>1572</v>
      </c>
      <c r="E5" s="334" t="s">
        <v>539</v>
      </c>
      <c r="F5" s="334" t="s">
        <v>101</v>
      </c>
      <c r="G5" s="335">
        <v>46143</v>
      </c>
    </row>
    <row r="6" spans="2:8">
      <c r="B6" s="334" t="s">
        <v>1573</v>
      </c>
      <c r="C6" s="334">
        <v>256790</v>
      </c>
      <c r="D6" s="334" t="s">
        <v>1574</v>
      </c>
      <c r="E6" s="334" t="s">
        <v>539</v>
      </c>
      <c r="F6" s="334" t="s">
        <v>1575</v>
      </c>
      <c r="G6" s="335">
        <v>45992</v>
      </c>
    </row>
    <row r="7" spans="2:8">
      <c r="B7" s="334" t="s">
        <v>1576</v>
      </c>
      <c r="C7" s="334">
        <v>265193</v>
      </c>
      <c r="D7" s="334" t="s">
        <v>1577</v>
      </c>
      <c r="E7" s="334" t="s">
        <v>540</v>
      </c>
      <c r="F7" s="334" t="s">
        <v>1499</v>
      </c>
      <c r="G7" s="334" t="s">
        <v>1578</v>
      </c>
    </row>
    <row r="8" spans="2:8">
      <c r="B8" s="334" t="s">
        <v>1579</v>
      </c>
      <c r="C8" s="334">
        <v>293716</v>
      </c>
      <c r="D8" s="334" t="s">
        <v>1580</v>
      </c>
      <c r="E8" s="334" t="s">
        <v>540</v>
      </c>
      <c r="F8" s="334" t="s">
        <v>1499</v>
      </c>
      <c r="G8" s="335">
        <v>46204</v>
      </c>
    </row>
    <row r="9" spans="2:8">
      <c r="B9" s="334" t="s">
        <v>1581</v>
      </c>
      <c r="C9" s="334">
        <v>257258</v>
      </c>
      <c r="D9" s="334" t="s">
        <v>1582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1583</v>
      </c>
      <c r="C10" s="334">
        <v>371147</v>
      </c>
      <c r="D10" s="334" t="s">
        <v>1584</v>
      </c>
      <c r="E10" s="334" t="s">
        <v>541</v>
      </c>
      <c r="F10" s="334" t="s">
        <v>144</v>
      </c>
      <c r="G10" s="334" t="s">
        <v>1578</v>
      </c>
    </row>
    <row r="11" spans="2:8">
      <c r="B11" s="334" t="s">
        <v>1585</v>
      </c>
      <c r="C11" s="334">
        <v>259230</v>
      </c>
      <c r="D11" s="334" t="s">
        <v>1586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1587</v>
      </c>
      <c r="C12" s="334">
        <v>370705</v>
      </c>
      <c r="D12" s="334"/>
      <c r="E12" s="334" t="s">
        <v>541</v>
      </c>
      <c r="F12" s="334" t="s">
        <v>144</v>
      </c>
      <c r="G12" s="334" t="s">
        <v>1578</v>
      </c>
    </row>
    <row r="13" spans="2:8">
      <c r="B13" s="334" t="s">
        <v>1588</v>
      </c>
      <c r="C13" s="334">
        <v>258542</v>
      </c>
      <c r="D13" s="334" t="s">
        <v>1589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1590</v>
      </c>
      <c r="C14" s="334">
        <v>257050</v>
      </c>
      <c r="D14" s="334" t="s">
        <v>1591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1592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1593</v>
      </c>
      <c r="E3" s="326" t="s">
        <v>1594</v>
      </c>
      <c r="F3" s="326" t="s">
        <v>1595</v>
      </c>
      <c r="G3" s="331" t="s">
        <v>1596</v>
      </c>
      <c r="H3" s="326" t="s">
        <v>1597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1598</v>
      </c>
      <c r="H4" s="329"/>
    </row>
    <row r="5" spans="3:8" ht="29.25">
      <c r="C5" s="327" t="s">
        <v>539</v>
      </c>
      <c r="D5" s="327" t="s">
        <v>1599</v>
      </c>
      <c r="E5" s="328">
        <v>46000</v>
      </c>
      <c r="F5" s="327">
        <v>9000</v>
      </c>
      <c r="G5" s="332" t="s">
        <v>1600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1601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1602</v>
      </c>
      <c r="G7" s="333" t="s">
        <v>1603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1604</v>
      </c>
      <c r="G8" s="332" t="s">
        <v>1605</v>
      </c>
      <c r="H8" s="327" t="s">
        <v>1606</v>
      </c>
    </row>
    <row r="9" spans="3:8">
      <c r="C9" s="327" t="s">
        <v>463</v>
      </c>
      <c r="D9" s="327" t="s">
        <v>1607</v>
      </c>
      <c r="E9" s="328">
        <v>45993</v>
      </c>
      <c r="F9" s="327">
        <v>12000</v>
      </c>
      <c r="G9" s="332" t="s">
        <v>1608</v>
      </c>
      <c r="H9" s="327"/>
    </row>
    <row r="10" spans="3:8" ht="29.25">
      <c r="C10" s="327" t="s">
        <v>463</v>
      </c>
      <c r="D10" s="327" t="s">
        <v>1609</v>
      </c>
      <c r="E10" s="328">
        <v>45993</v>
      </c>
      <c r="F10" s="327">
        <v>9000</v>
      </c>
      <c r="G10" s="332" t="s">
        <v>1610</v>
      </c>
      <c r="H10" s="327"/>
    </row>
    <row r="11" spans="3:8" ht="29.25">
      <c r="C11" s="327" t="s">
        <v>463</v>
      </c>
      <c r="D11" s="327" t="s">
        <v>1611</v>
      </c>
      <c r="E11" s="328">
        <v>45993</v>
      </c>
      <c r="F11" s="327">
        <v>10000</v>
      </c>
      <c r="G11" s="332" t="s">
        <v>1610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1612</v>
      </c>
      <c r="H12" s="327" t="s">
        <v>1606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426" sqref="E4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1613</v>
      </c>
      <c r="W1" s="397"/>
      <c r="X1" s="397"/>
      <c r="Y1" s="104"/>
    </row>
    <row r="2" spans="1:25" s="101" customFormat="1" ht="11.25" customHeight="1">
      <c r="A2" s="105" t="s">
        <v>1614</v>
      </c>
      <c r="B2" s="105" t="s">
        <v>1615</v>
      </c>
      <c r="C2" s="105" t="s">
        <v>313</v>
      </c>
      <c r="D2" s="106" t="s">
        <v>873</v>
      </c>
      <c r="E2" s="106" t="s">
        <v>874</v>
      </c>
      <c r="F2" s="106" t="s">
        <v>1616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1617</v>
      </c>
      <c r="U2" s="108" t="s">
        <v>876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400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1430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40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15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400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1430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40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19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430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2380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24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400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400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1430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40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15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19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12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400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400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1430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40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15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19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60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400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400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1430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15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40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19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60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2380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24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400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40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19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400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400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1430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15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40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19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400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400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1430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15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40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19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400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400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1430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15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19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19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430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2380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60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400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1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24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2380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400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400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1430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15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40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19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19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1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1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400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1430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15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40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19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400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19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40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400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15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40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19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40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1700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400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1700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400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1430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15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40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19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400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1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430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1700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400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1430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15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40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19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400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1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1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430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1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12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>
        <f ca="1">_xlfn.XLOOKUP(G382&amp;$W$2,BS_CONTROLE[CHAVE],BS_CONTROLE[Quantidade_11],"-")</f>
        <v>0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2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1700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400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60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400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1430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15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40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19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430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1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2380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24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>
        <f ca="1">_xlfn.XLOOKUP(G403&amp;$W$2,BS_CONTROLE[CHAVE],BS_CONTROLE[Quantidade_11],"-")</f>
        <v>0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1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1700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400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12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400</v>
      </c>
      <c r="X413" s="112">
        <f ca="1">_xlfn.XLOOKUP(G413&amp;$X$2,BS_CONTROLE[CHAVE],BS_CONTROLE[Quantidade_11],"-")</f>
        <v>0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1430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15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40</v>
      </c>
      <c r="X416" s="112">
        <f ca="1">_xlfn.XLOOKUP(G416&amp;$X$2,BS_CONTROLE[CHAVE],BS_CONTROLE[Quantidade_11],"-")</f>
        <v>0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19</v>
      </c>
      <c r="X417" s="112">
        <f ca="1">_xlfn.XLOOKUP(G417&amp;$X$2,BS_CONTROLE[CHAVE],BS_CONTROLE[Quantidade_11],"-")</f>
        <v>0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40</v>
      </c>
      <c r="X420" s="112">
        <f ca="1">_xlfn.XLOOKUP(G420&amp;$X$2,BS_CONTROLE[CHAVE],BS_CONTROLE[Quantidade_11],"-")</f>
        <v>0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1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>
        <f ca="1">_xlfn.XLOOKUP(G426&amp;$X$2,BS_CONTROLE[CHAVE],BS_CONTROLE[Quantidade_11],"-")</f>
        <v>1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>
        <f ca="1">_xlfn.XLOOKUP(G427&amp;$X$2,BS_CONTROLE[CHAVE],BS_CONTROLE[Quantidade_11],"-")</f>
        <v>1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>
        <f ca="1">_xlfn.XLOOKUP(G428&amp;$X$2,BS_CONTROLE[CHAVE],BS_CONTROLE[Quantidade_11],"-")</f>
        <v>1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430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>
        <f ca="1">_xlfn.XLOOKUP(G440&amp;$X$2,BS_CONTROLE[CHAVE],BS_CONTROLE[Quantidade_11],"-")</f>
        <v>0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1700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400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Oportunidade</v>
      </c>
      <c r="C444" s="109" t="str">
        <f>IF(SP_SUL!Z446="","*",SP_SUL!Z446)</f>
        <v>*</v>
      </c>
      <c r="D444" s="110" t="str">
        <f>IF(SP_SUL!S446="","*",SP_SUL!S446)</f>
        <v>SP SUL</v>
      </c>
      <c r="E444" s="110" t="str">
        <f>IF(SP_SUL!T446="","*",SP_SUL!T446)</f>
        <v>ZBV-ZKE</v>
      </c>
      <c r="F444" s="110">
        <f>IF(SP_SUL!B446="","*",SP_SUL!B446)</f>
        <v>46010</v>
      </c>
      <c r="G444" s="110" t="str">
        <f>IF(SP_SUL!D446="","*",SP_SUL!D446)</f>
        <v>V89</v>
      </c>
      <c r="H444" s="110" t="str">
        <f>IF(SP_SUL!F446="","*",SP_SUL!F446)</f>
        <v>MECANIZAÇÃO - SOCADORA</v>
      </c>
      <c r="I444" s="110" t="str">
        <f>IF(SP_SUL!H446="","*",SP_SUL!H446)</f>
        <v>ZYU1</v>
      </c>
      <c r="J444" s="110" t="str">
        <f>IF(SP_SUL!I446="","*",SP_SUL!I446)</f>
        <v>ZYU1</v>
      </c>
      <c r="K444" s="110" t="str">
        <f>IF(SP_SUL!M446="","*",SP_SUL!M446)</f>
        <v>ZXI-ZVK</v>
      </c>
      <c r="L444" s="339" t="str">
        <f>IF(SP_SUL!N446="","*",SP_SUL!N446)</f>
        <v>ZIC2</v>
      </c>
      <c r="M444" s="111">
        <f>IF(SP_SUL!J446="","*",SP_SUL!J446)</f>
        <v>56</v>
      </c>
      <c r="N444" s="270">
        <f>IF(SP_SUL!K446="","*",SP_SUL!K446)</f>
        <v>225.3</v>
      </c>
      <c r="O444" s="270">
        <f>IF(SP_SUL!L446="","*",SP_SUL!L446)</f>
        <v>229</v>
      </c>
      <c r="P444" s="111"/>
      <c r="Q444" s="128">
        <f>IF(SP_SUL!O446="","*",SP_SUL!O446)</f>
        <v>0.39583333333333331</v>
      </c>
      <c r="R444" s="128">
        <f>IF(SP_SUL!P446="","*",SP_SUL!P446)</f>
        <v>8.3333333333333329E-2</v>
      </c>
      <c r="S444" s="110" t="str">
        <f>IF(SP_SUL!Q446="","*",CONCATENATE(SP_SUL!Q446," ",SP_SUL!R446))</f>
        <v>480 M</v>
      </c>
      <c r="T444" s="110" t="str">
        <f>IF(SP_SUL!V446="","*",SP_SUL!V446)</f>
        <v>Saulo</v>
      </c>
      <c r="U444" s="110" t="str">
        <f>IF(SP_SUL!W446="","*",SP_SUL!W446)</f>
        <v>Serviços de socaria mecanizada</v>
      </c>
      <c r="V444" s="112">
        <f ca="1">_xlfn.XLOOKUP(G444&amp;$V$2,BS_CONTROLE[CHAVE],BS_CONTROLE[Quantidade_11],"-")</f>
        <v>1430</v>
      </c>
      <c r="W444" s="112">
        <f ca="1">_xlfn.XLOOKUP(G444&amp;$W$2,BS_CONTROLE[CHAVE],BS_CONTROLE[Quantidade_11],"-")</f>
        <v>0</v>
      </c>
      <c r="X444" s="112">
        <f ca="1">_xlfn.XLOOKUP(G444&amp;$X$2,BS_CONTROLE[CHAVE],BS_CONTROLE[Quantidade_11],"-")</f>
        <v>0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Oportunidade</v>
      </c>
      <c r="C445" s="109" t="str">
        <f>IF(SP_SUL!Z447="","*",SP_SUL!Z447)</f>
        <v>*</v>
      </c>
      <c r="D445" s="110" t="str">
        <f>IF(SP_SUL!S447="","*",SP_SUL!S447)</f>
        <v>SP SUL</v>
      </c>
      <c r="E445" s="110" t="str">
        <f>IF(SP_SUL!T447="","*",SP_SUL!T447)</f>
        <v>ZBV-ZKE</v>
      </c>
      <c r="F445" s="110">
        <f>IF(SP_SUL!B447="","*",SP_SUL!B447)</f>
        <v>46010</v>
      </c>
      <c r="G445" s="110" t="str">
        <f>IF(SP_SUL!D447="","*",SP_SUL!D447)</f>
        <v>EDSON (TP-780)</v>
      </c>
      <c r="H445" s="110" t="str">
        <f>IF(SP_SUL!F447="","*",SP_SUL!F447)</f>
        <v>PDM - SUBSTITUIÇÃO - DORMENTE</v>
      </c>
      <c r="I445" s="110" t="str">
        <f>IF(SP_SUL!H447="","*",SP_SUL!H447)</f>
        <v>-</v>
      </c>
      <c r="J445" s="110" t="str">
        <f>IF(SP_SUL!I447="","*",SP_SUL!I447)</f>
        <v>-</v>
      </c>
      <c r="K445" s="110" t="str">
        <f>IF(SP_SUL!M447="","*",SP_SUL!M447)</f>
        <v>ZYU</v>
      </c>
      <c r="L445" s="339" t="str">
        <f>IF(SP_SUL!N447="","*",SP_SUL!N447)</f>
        <v>ZYU1</v>
      </c>
      <c r="M445" s="111">
        <f>IF(SP_SUL!J447="","*",SP_SUL!J447)</f>
        <v>49</v>
      </c>
      <c r="N445" s="270">
        <f>IF(SP_SUL!K447="","*",SP_SUL!K447)</f>
        <v>203.1</v>
      </c>
      <c r="O445" s="270" t="str">
        <f>IF(SP_SUL!L447="","*",SP_SUL!L447)</f>
        <v>-</v>
      </c>
      <c r="P445" s="111"/>
      <c r="Q445" s="128">
        <f>IF(SP_SUL!O447="","*",SP_SUL!O447)</f>
        <v>0.41666666666666669</v>
      </c>
      <c r="R445" s="128">
        <f>IF(SP_SUL!P447="","*",SP_SUL!P447)</f>
        <v>6.25E-2</v>
      </c>
      <c r="S445" s="110" t="str">
        <f>IF(SP_SUL!Q447="","*",CONCATENATE(SP_SUL!Q447," ",SP_SUL!R447))</f>
        <v>15 Nº DE DORMENTES</v>
      </c>
      <c r="T445" s="110" t="str">
        <f>IF(SP_SUL!V447="","*",SP_SUL!V447)</f>
        <v>Jonas</v>
      </c>
      <c r="U445" s="110" t="str">
        <f>IF(SP_SUL!W447="","*",SP_SUL!W447)</f>
        <v>Substituição de dormentes</v>
      </c>
      <c r="V445" s="112">
        <f ca="1">_xlfn.XLOOKUP(G445&amp;$V$2,BS_CONTROLE[CHAVE],BS_CONTROLE[Quantidade_11],"-")</f>
        <v>0</v>
      </c>
      <c r="W445" s="112">
        <f ca="1">_xlfn.XLOOKUP(G445&amp;$W$2,BS_CONTROLE[CHAVE],BS_CONTROLE[Quantidade_11],"-")</f>
        <v>15</v>
      </c>
      <c r="X445" s="112">
        <f ca="1">_xlfn.XLOOKUP(G445&amp;$X$2,BS_CONTROLE[CHAVE],BS_CONTROLE[Quantidade_11],"-")</f>
        <v>0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1618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1619</v>
      </c>
      <c r="D5" s="399"/>
      <c r="E5" s="399"/>
      <c r="F5" s="399"/>
      <c r="G5" s="399"/>
      <c r="H5" s="399"/>
      <c r="I5" s="399"/>
      <c r="J5" s="400"/>
      <c r="K5" s="401" t="s">
        <v>1620</v>
      </c>
      <c r="L5" s="402"/>
      <c r="M5" s="402"/>
      <c r="N5" s="402"/>
      <c r="O5" s="403" t="s">
        <v>1621</v>
      </c>
      <c r="P5" s="404"/>
      <c r="Q5" s="405"/>
    </row>
    <row r="6" spans="1:17" s="94" customFormat="1" ht="15.75" customHeight="1">
      <c r="A6" s="88" t="s">
        <v>1616</v>
      </c>
      <c r="B6" s="95" t="s">
        <v>1615</v>
      </c>
      <c r="C6" s="96" t="s">
        <v>873</v>
      </c>
      <c r="D6" s="97" t="s">
        <v>874</v>
      </c>
      <c r="E6" s="96" t="s">
        <v>1622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1623</v>
      </c>
      <c r="M6" s="139" t="s">
        <v>335</v>
      </c>
      <c r="N6" s="140" t="s">
        <v>868</v>
      </c>
      <c r="O6" s="246" t="s">
        <v>911</v>
      </c>
      <c r="P6" s="157"/>
      <c r="Q6" s="193" t="s">
        <v>1624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Em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1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1</v>
      </c>
      <c r="P418" s="91"/>
      <c r="Q418" s="145" t="str">
        <f>IF($A$2=1,IF(SP_SUL!BJ439="","*",SP_SUL!BJ439),IF(SP_SUL!BK439="","*",SP_SUL!BK439))</f>
        <v>MC1 11h13 /autorizado entrada na via 12h21/   Em deslocamento para km de descarga.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>
        <f>IF(SP_SUL!B446="","*",SP_SUL!B446)</f>
        <v>46010</v>
      </c>
      <c r="B425" s="99" t="str">
        <f>IF(SP_SUL!X446="","*",SP_SUL!X446)</f>
        <v>Oportunidade</v>
      </c>
      <c r="C425" s="100" t="str">
        <f>IF(SP_SUL!S446="","*",SP_SUL!S446)</f>
        <v>SP SUL</v>
      </c>
      <c r="D425" s="100" t="str">
        <f>IF(SP_SUL!T446="","*",SP_SUL!T446)</f>
        <v>ZBV-ZKE</v>
      </c>
      <c r="E425" s="100" t="str">
        <f>IF(SP_SUL!D446="","*",SP_SUL!D446)</f>
        <v>V89</v>
      </c>
      <c r="F425" s="100" t="str">
        <f>IF(SP_SUL!H446="","*",SP_SUL!H446)</f>
        <v>ZYU1</v>
      </c>
      <c r="G425" s="100" t="str">
        <f>IF(SP_SUL!M446="","*",SP_SUL!M446)</f>
        <v>ZXI-ZVK</v>
      </c>
      <c r="H425" s="154">
        <f>IF(SP_SUL!K446="","*",SP_SUL!K446)</f>
        <v>225.3</v>
      </c>
      <c r="I425" s="132">
        <f>IF(SP_SUL!O446="","*",SP_SUL!O446)</f>
        <v>0.39583333333333331</v>
      </c>
      <c r="J425" s="132">
        <f>IF(SP_SUL!P446="","*",SP_SUL!P446)</f>
        <v>8.3333333333333329E-2</v>
      </c>
      <c r="K425" s="141" t="str">
        <f>IF(SP_SUL!AK446="","*",SP_SUL!AK446)</f>
        <v>ZYU1</v>
      </c>
      <c r="L425" s="141" t="str">
        <f>IF(SP_SUL!AM446="","*",SP_SUL!AM446)</f>
        <v>ZXI-ZVK</v>
      </c>
      <c r="M425" s="141">
        <f>IF(SP_SUL!AP446="","*",SP_SUL!AP446)</f>
        <v>225.3</v>
      </c>
      <c r="N425" s="141" t="str">
        <f>IF(SP_SUL!AM446="","*",SP_SUL!AM446)</f>
        <v>ZXI-ZVK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>
        <f>IF(SP_SUL!B447="","*",SP_SUL!B447)</f>
        <v>46010</v>
      </c>
      <c r="B426" s="99" t="str">
        <f>IF(SP_SUL!X447="","*",SP_SUL!X447)</f>
        <v>Oportunidade</v>
      </c>
      <c r="C426" s="100" t="str">
        <f>IF(SP_SUL!S447="","*",SP_SUL!S447)</f>
        <v>SP SUL</v>
      </c>
      <c r="D426" s="100" t="str">
        <f>IF(SP_SUL!T447="","*",SP_SUL!T447)</f>
        <v>ZBV-ZKE</v>
      </c>
      <c r="E426" s="100" t="str">
        <f>IF(SP_SUL!D447="","*",SP_SUL!D447)</f>
        <v>EDSON (TP-780)</v>
      </c>
      <c r="F426" s="100" t="str">
        <f>IF(SP_SUL!H447="","*",SP_SUL!H447)</f>
        <v>-</v>
      </c>
      <c r="G426" s="100" t="str">
        <f>IF(SP_SUL!M447="","*",SP_SUL!M447)</f>
        <v>ZYU</v>
      </c>
      <c r="H426" s="154">
        <f>IF(SP_SUL!K447="","*",SP_SUL!K447)</f>
        <v>203.1</v>
      </c>
      <c r="I426" s="132">
        <f>IF(SP_SUL!O447="","*",SP_SUL!O447)</f>
        <v>0.41666666666666669</v>
      </c>
      <c r="J426" s="132">
        <f>IF(SP_SUL!P447="","*",SP_SUL!P447)</f>
        <v>6.25E-2</v>
      </c>
      <c r="K426" s="141" t="str">
        <f>IF(SP_SUL!AK447="","*",SP_SUL!AK447)</f>
        <v>-</v>
      </c>
      <c r="L426" s="141" t="str">
        <f>IF(SP_SUL!AM447="","*",SP_SUL!AM447)</f>
        <v>ZYU</v>
      </c>
      <c r="M426" s="141">
        <f>IF(SP_SUL!AP447="","*",SP_SUL!AP447)</f>
        <v>203.1</v>
      </c>
      <c r="N426" s="141" t="str">
        <f>IF(SP_SUL!AM447="","*",SP_SUL!AM447)</f>
        <v>ZYU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0.33333333333333331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1625</v>
      </c>
      <c r="C2" s="96" t="s">
        <v>858</v>
      </c>
      <c r="D2" s="96" t="s">
        <v>860</v>
      </c>
      <c r="E2" s="96" t="s">
        <v>1626</v>
      </c>
      <c r="F2" s="96" t="s">
        <v>1627</v>
      </c>
      <c r="G2" s="96" t="s">
        <v>1628</v>
      </c>
      <c r="H2" s="96" t="s">
        <v>1629</v>
      </c>
      <c r="I2" s="96" t="s">
        <v>1630</v>
      </c>
      <c r="J2" s="96" t="s">
        <v>1631</v>
      </c>
      <c r="K2" s="131" t="s">
        <v>1632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>
        <f>IF(SP_SUL!B446="","*",SP_SUL!B446)</f>
        <v>46010</v>
      </c>
      <c r="D422" s="121" t="str">
        <f>IF(SP_SUL!D446="","*",SP_SUL!D446)</f>
        <v>V89</v>
      </c>
      <c r="E422" s="121" t="str">
        <f>IF(SP_SUL!H446="","*",SP_SUL!H446)</f>
        <v>ZYU1</v>
      </c>
      <c r="F422" s="137" t="str">
        <f>IF(SP_SUL!M446="","*",SP_SUL!M446)</f>
        <v>ZXI-ZVK</v>
      </c>
      <c r="G422" s="121" t="str">
        <f>IF(SP_SUL!I446="","*",SP_SUL!I446)</f>
        <v>ZYU1</v>
      </c>
      <c r="H422" s="121" t="str">
        <f>IF(SP_SUL!AB446="","*",SP_SUL!AB446)</f>
        <v>FIXO</v>
      </c>
      <c r="I422" s="121" t="str">
        <f>IF(SP_SUL!AC446="","*",SP_SUL!AC446)</f>
        <v>ACIONAMENTO</v>
      </c>
      <c r="J422" s="122">
        <f>IF(SP_SUL!AA446="","*",SP_SUL!AA446)</f>
        <v>1</v>
      </c>
      <c r="K422" s="134">
        <f>IF(SP_SUL!AD446="","*",SP_SUL!AD446)</f>
        <v>0.33333333333333331</v>
      </c>
    </row>
    <row r="423" spans="2:11" s="123" customFormat="1" hidden="1">
      <c r="B423" s="120" t="str">
        <f>IF(SP_SUL!Y447="","*",SP_SUL!Y447)</f>
        <v>*</v>
      </c>
      <c r="C423" s="121">
        <f>IF(SP_SUL!B447="","*",SP_SUL!B447)</f>
        <v>46010</v>
      </c>
      <c r="D423" s="121" t="str">
        <f>IF(SP_SUL!D447="","*",SP_SUL!D447)</f>
        <v>EDSON (TP-780)</v>
      </c>
      <c r="E423" s="121" t="str">
        <f>IF(SP_SUL!H447="","*",SP_SUL!H447)</f>
        <v>-</v>
      </c>
      <c r="F423" s="137" t="str">
        <f>IF(SP_SUL!M447="","*",SP_SUL!M447)</f>
        <v>ZYU</v>
      </c>
      <c r="G423" s="121" t="str">
        <f>IF(SP_SUL!I447="","*",SP_SUL!I447)</f>
        <v>-</v>
      </c>
      <c r="H423" s="121" t="str">
        <f>IF(SP_SUL!AB447="","*",SP_SUL!AB447)</f>
        <v>-</v>
      </c>
      <c r="I423" s="121" t="str">
        <f>IF(SP_SUL!AC447="","*",SP_SUL!AC447)</f>
        <v>*</v>
      </c>
      <c r="J423" s="122" t="str">
        <f>IF(SP_SUL!AA447="","*",SP_SUL!AA447)</f>
        <v>-</v>
      </c>
      <c r="K423" s="134" t="str">
        <f>IF(SP_SUL!AD447="","*",SP_SUL!AD447)</f>
        <v>-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*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*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*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>
        <f>IF(SP_SUL!AA464="","*",SP_SUL!AA464)</f>
        <v>1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*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*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*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>
        <f>IF(SP_SUL!AA468="","*",SP_SUL!AA468)</f>
        <v>1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*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*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2025-12-18T17:18:11Z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