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61" documentId="8_{B6337239-1A00-434D-AAD0-422EA1FEB5AE}" xr6:coauthVersionLast="47" xr6:coauthVersionMax="47" xr10:uidLastSave="{FBFD0229-DC5B-42C7-BF25-126E0D3F2BC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0" i="1" l="1"/>
  <c r="G218" i="1"/>
  <c r="G219" i="1"/>
  <c r="G220" i="1"/>
  <c r="G221" i="1"/>
  <c r="R216" i="1"/>
  <c r="S216" i="1" a="1"/>
  <c r="S216" i="1"/>
  <c r="T216" i="1" a="1"/>
  <c r="T216" i="1"/>
  <c r="R217" i="1"/>
  <c r="S217" i="1" a="1"/>
  <c r="S217" i="1"/>
  <c r="T217" i="1" a="1"/>
  <c r="T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D193" i="12"/>
  <c r="E193" i="12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0" i="1" l="1"/>
  <c r="S177" i="12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<sst xmlns="http://schemas.openxmlformats.org/spreadsheetml/2006/main" count="5467" uniqueCount="1481">
  <si>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</si>
  <si>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</si>
  <si>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</si>
  <si>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</si>
  <si>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</si>
  <si>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</si>
  <si>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</si>
  <si>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</si>
  <si>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</si>
  <si>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</si>
  <si>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</si>
  <si>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</si>
  <si>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</si>
  <si>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</si>
  <si>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</si>
  <si>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</si>
  <si>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</si>
  <si>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</si>
  <si>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</si>
  <si>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</si>
  <si>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</si>
  <si>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</si>
  <si>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</si>
  <si>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</si>
  <si>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</si>
  <si>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</si>
  <si>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</si>
  <si>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</si>
  <si>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</si>
  <si>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</si>
  <si>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</si>
  <si>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</si>
  <si>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</si>
  <si>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</si>
  <si>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</si>
  <si>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</si>
  <si>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</si>
  <si>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</si>
  <si>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</si>
  <si>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</si>
  <si>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</si>
  <si>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</si>
  <si>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</si>
  <si>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</si>
  <si>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</si>
  <si>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</si>
  <si>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</si>
  <si>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</si>
  <si>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</si>
  <si>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</si>
  <si>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</si>
  <si>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</si>
  <si>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</si>
  <si>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</si>
  <si>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</si>
  <si>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</si>
  <si>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</si>
  <si>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</si>
  <si>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</si>
  <si>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</si>
  <si>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</si>
  <si>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</si>
  <si>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</si>
  <si>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</si>
  <si>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</si>
  <si>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</si>
  <si>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</si>
  <si>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</si>
  <si>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</si>
  <si>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</si>
  <si>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</si>
  <si>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</si>
  <si>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</si>
  <si>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</si>
  <si>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</si>
  <si>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</si>
  <si>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</si>
  <si>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</si>
  <si>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</si>
  <si>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</si>
  <si>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</si>
  <si>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</si>
  <si>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</si>
  <si>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</si>
  <si>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</si>
  <si>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</si>
  <si>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</si>
  <si>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</si>
  <si>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</si>
  <si>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</si>
  <si>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</si>
  <si>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</si>
  <si>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</si>
  <si>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</si>
  <si>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</si>
  <si>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</si>
  <si>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</si>
  <si>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</si>
  <si>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</si>
  <si>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</si>
  <si>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</si>
  <si>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</si>
  <si>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</si>
  <si>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</si>
  <si>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</si>
  <si>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</si>
  <si>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</si>
  <si>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</si>
  <si>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</si>
  <si>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</si>
  <si>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</si>
  <si>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</si>
  <si>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</si>
  <si>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</si>
  <si>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</si>
  <si>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</si>
  <si>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</si>
  <si>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</si>
  <si>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</si>
  <si>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</si>
  <si>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</si>
  <si>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</si>
  <si>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</si>
  <si>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</si>
  <si>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</si>
  <si>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</si>
  <si>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</si>
  <si>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</si>
  <si>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</si>
  <si>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</si>
  <si>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</si>
  <si>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</si>
  <si>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</si>
  <si>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</si>
  <si>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</si>
  <si>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</si>
  <si>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</si>
  <si>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</si>
  <si>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</si>
  <si>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</si>
  <si>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</si>
  <si>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</si>
  <si>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</si>
  <si>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</si>
  <si>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</si>
  <si>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</si>
  <si>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</si>
  <si>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</si>
  <si>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</si>
  <si>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</si>
  <si>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</si>
  <si>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</si>
  <si>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</si>
  <si>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</si>
  <si>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</si>
  <si>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</si>
  <si>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</si>
  <si>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</si>
  <si>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</si>
  <si>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</si>
  <si>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</si>
  <si>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</si>
  <si>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</si>
  <si>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</si>
  <si>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</si>
  <si>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</si>
  <si>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</si>
  <si>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</si>
  <si>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</si>
  <si>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</si>
  <si>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</si>
  <si>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</si>
  <si>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</si>
  <si>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</si>
  <si>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</si>
  <si>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</si>
  <si>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</si>
  <si>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</si>
  <si>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</si>
  <si>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</si>
  <si>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</si>
  <si>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</si>
  <si>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</si>
  <si>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</si>
  <si>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</si>
  <si>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</si>
  <si>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</si>
  <si>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</si>
  <si>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</si>
  <si>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</si>
  <si>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</si>
  <si>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</si>
  <si>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</si>
  <si>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</si>
  <si>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</si>
  <si>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</si>
  <si>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</si>
  <si>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</si>
  <si>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</si>
  <si>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</si>
  <si>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</si>
  <si>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</si>
  <si>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</si>
  <si>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</si>
  <si>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</si>
  <si>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</si>
  <si>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</si>
  <si>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</si>
  <si>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</si>
  <si>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</si>
  <si>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</si>
  <si>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</si>
  <si>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</si>
  <si>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</si>
  <si>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</si>
  <si>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</si>
  <si>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</si>
  <si>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</si>
  <si>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</si>
  <si>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</si>
  <si>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</si>
  <si>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</si>
  <si>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</si>
  <si>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</si>
  <si>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</si>
  <si>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</si>
  <si>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</si>
  <si>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</si>
  <si>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</si>
  <si>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</si>
  <si>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</si>
  <si>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</si>
  <si>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</si>
  <si>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</si>
  <si>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</si>
  <si>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</si>
  <si>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</si>
  <si>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</si>
  <si>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</si>
  <si>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</si>
  <si>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</si>
  <si>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</si>
  <si>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</si>
  <si>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</si>
  <si>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</si>
  <si>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</si>
  <si>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</si>
  <si>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</si>
  <si>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</si>
  <si>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</si>
  <si>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</si>
  <si>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</si>
  <si>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</si>
  <si>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</si>
  <si>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</si>
  <si>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</si>
  <si>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</si>
  <si>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</si>
  <si>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</si>
  <si>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</si>
  <si>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</si>
  <si>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</si>
  <si>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</si>
  <si>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</si>
  <si>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</si>
  <si>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</si>
  <si>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</si>
  <si>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</si>
  <si>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</si>
  <si>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</si>
  <si>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</si>
  <si>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</si>
  <si>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</si>
  <si>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</si>
  <si>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</si>
  <si>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</si>
  <si>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</si>
  <si>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</si>
  <si>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</si>
  <si>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</si>
  <si>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</si>
  <si>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</si>
  <si>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</si>
  <si>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</si>
  <si>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</si>
  <si>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</si>
  <si>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</si>
  <si>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</si>
  <si>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</si>
  <si>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</si>
  <si>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</si>
  <si>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</si>
  <si>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</si>
  <si>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</si>
  <si>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</si>
  <si>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</si>
  <si>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</si>
  <si>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</si>
  <si>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</si>
  <si>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</si>
  <si>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</si>
  <si>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</si>
  <si>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</si>
  <si>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</si>
  <si>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</si>
  <si>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</si>
  <si>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</si>
  <si>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</si>
  <si>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</si>
  <si>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</si>
  <si>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</si>
  <si>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</si>
  <si>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</si>
  <si>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</si>
  <si>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</si>
  <si>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</si>
  <si>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</si>
  <si>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</si>
  <si>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</si>
  <si>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</si>
  <si>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</si>
  <si>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</si>
  <si>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</si>
  <si>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</si>
  <si>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</si>
  <si>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</si>
  <si>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</si>
  <si>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</si>
  <si>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</si>
  <si>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</si>
  <si>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</si>
  <si>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</si>
  <si>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</si>
  <si>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</si>
  <si>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</si>
  <si>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</si>
  <si>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</si>
  <si>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</si>
  <si>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</si>
  <si>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</si>
  <si>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</si>
  <si>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</si>
  <si>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</si>
  <si>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</si>
  <si>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</si>
  <si>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</si>
  <si>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</si>
  <si>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</si>
  <si>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</si>
  <si>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</si>
  <si>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</si>
  <si>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</si>
  <si>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</si>
  <si>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</si>
  <si>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</si>
  <si>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</si>
  <si>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</si>
  <si>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</si>
  <si>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</si>
  <si>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</si>
  <si>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</si>
  <si>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</si>
  <si>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</si>
  <si>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</si>
  <si>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</si>
  <si>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</si>
  <si>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</si>
  <si>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</si>
  <si>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</si>
  <si>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</si>
  <si>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</si>
  <si>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</si>
  <si>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</si>
  <si>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</si>
  <si>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</si>
  <si>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</si>
  <si>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</si>
  <si>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</si>
  <si>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</si>
  <si>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</si>
  <si>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</si>
  <si>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</si>
  <si>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</si>
  <si>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</si>
  <si>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</si>
  <si>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</si>
  <si>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</si>
  <si>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</si>
  <si>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</si>
  <si>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</si>
  <si>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</si>
  <si>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</si>
  <si>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</si>
  <si>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</si>
  <si>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</si>
  <si>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</si>
  <si>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</si>
  <si>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</si>
  <si>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</si>
  <si>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</si>
  <si>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</si>
  <si>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</si>
  <si>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</si>
  <si>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</si>
  <si>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</si>
  <si>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</si>
  <si>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</si>
  <si>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</si>
  <si>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</si>
  <si>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</si>
  <si>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</si>
  <si>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</si>
  <si>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</si>
  <si>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</si>
  <si>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</si>
  <si>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</si>
  <si>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</si>
  <si>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</si>
  <si>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</si>
  <si>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</si>
  <si>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</si>
  <si>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</si>
  <si>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</si>
  <si>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</si>
  <si>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</si>
  <si>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</si>
  <si>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</si>
  <si>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</si>
  <si>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</si>
  <si>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</si>
  <si>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</si>
  <si>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</si>
  <si>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</si>
  <si>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</si>
  <si>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</si>
  <si>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</si>
  <si>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</si>
  <si>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</si>
  <si>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</si>
  <si>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</si>
  <si>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</si>
  <si>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</si>
  <si>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</si>
  <si>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</si>
  <si>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</si>
  <si>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</si>
  <si>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</si>
  <si>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</si>
  <si>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</si>
  <si>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</si>
  <si>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</si>
  <si>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</si>
  <si>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</si>
  <si>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</si>
  <si>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</si>
  <si>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</si>
  <si>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</si>
  <si>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</si>
  <si>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</si>
  <si>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</si>
  <si>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</si>
  <si>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</si>
  <si>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</si>
  <si>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</si>
  <si>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</si>
  <si>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</si>
  <si>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</si>
  <si>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</si>
  <si>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</si>
  <si>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</si>
  <si>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</si>
  <si>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</si>
  <si>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</si>
  <si>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</si>
  <si>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</si>
  <si>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</si>
  <si>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</si>
  <si>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</si>
  <si>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</si>
  <si>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</si>
  <si>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</si>
  <si>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</si>
  <si>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</si>
  <si>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</si>
  <si>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</si>
  <si>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</si>
  <si>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</si>
  <si>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</si>
  <si>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</si>
  <si>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</si>
  <si>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</si>
  <si>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</si>
  <si>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</si>
  <si>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</si>
  <si>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</si>
  <si>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</si>
  <si>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</si>
  <si>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</si>
  <si>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</si>
  <si>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</si>
  <si>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</si>
  <si>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</si>
  <si>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</si>
  <si>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</si>
  <si>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</si>
  <si>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</si>
  <si>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</si>
  <si>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</si>
  <si>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</si>
  <si>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</si>
  <si>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</si>
  <si>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</si>
  <si>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</si>
  <si>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</si>
  <si>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</si>
  <si>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</si>
  <si>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</si>
  <si>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</si>
  <si>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</si>
  <si>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</si>
  <si>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</si>
  <si>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</si>
  <si>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</si>
  <si>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</si>
  <si>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</si>
  <si>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</si>
  <si>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</si>
  <si>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</si>
  <si>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</si>
  <si>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</si>
  <si>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</si>
  <si>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</si>
  <si>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</si>
  <si>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</si>
  <si>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</si>
  <si>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</si>
  <si>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</si>
  <si>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</si>
  <si>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</si>
  <si>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</si>
  <si>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</si>
  <si>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</si>
  <si>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</si>
  <si>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</si>
  <si>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</si>
  <si>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</si>
  <si>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</si>
  <si>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</si>
  <si>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</si>
  <si>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</si>
  <si>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</si>
  <si>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</si>
  <si>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</si>
  <si>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</si>
  <si>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</si>
  <si>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</si>
  <si>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</si>
  <si>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</si>
  <si>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</si>
  <si>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</si>
  <si>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</si>
  <si>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</si>
  <si>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</si>
  <si>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</si>
  <si>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</si>
  <si>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</si>
  <si>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</si>
  <si>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</si>
  <si>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</si>
  <si>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</si>
  <si>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</si>
  <si>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</si>
  <si>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</si>
  <si>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</si>
  <si>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</si>
  <si>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</si>
  <si>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</si>
  <si>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</si>
  <si>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</si>
  <si>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</si>
  <si>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</si>
  <si>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</si>
  <si>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</si>
  <si>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</si>
  <si>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</si>
  <si>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</si>
  <si>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</si>
  <si>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</si>
  <si>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</si>
  <si>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</si>
  <si>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</si>
  <si>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</si>
  <si>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</si>
  <si>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</si>
  <si>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</si>
  <si>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</si>
  <si>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</si>
  <si>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</si>
  <si>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</si>
  <si>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</si>
  <si>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</si>
  <si>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</si>
  <si>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</si>
  <si>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</si>
  <si>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</si>
  <si>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</si>
  <si>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</si>
  <si>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</si>
  <si>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</si>
  <si>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</si>
  <si>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</si>
  <si>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</si>
  <si>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</si>
  <si>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</si>
  <si>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</si>
  <si>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</si>
  <si>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</si>
  <si>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</si>
  <si>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</si>
  <si>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</si>
  <si>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</si>
  <si>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</si>
  <si>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</si>
  <si>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</si>
  <si>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</si>
  <si>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</si>
  <si>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</si>
  <si>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</si>
  <si>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</si>
  <si>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</si>
  <si>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</si>
  <si>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</si>
  <si>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</si>
  <si>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</si>
  <si>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</si>
  <si>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</si>
  <si>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</si>
  <si>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</si>
  <si>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</si>
  <si>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</si>
  <si>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</si>
  <si>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</si>
  <si>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</si>
  <si>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</si>
  <si>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</si>
  <si>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</si>
  <si>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</si>
  <si>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</si>
  <si>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</si>
  <si>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</si>
  <si>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</si>
  <si>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</si>
  <si>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</si>
  <si>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</si>
  <si>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</si>
  <si>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</si>
  <si>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</si>
  <si>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</si>
  <si>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</si>
  <si>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</si>
  <si>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</si>
  <si>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</si>
  <si>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</si>
  <si>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</si>
  <si>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</si>
  <si>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</si>
  <si>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</si>
  <si>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</si>
  <si>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</si>
  <si>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</si>
  <si>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</si>
  <si>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</si>
  <si>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</si>
  <si>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</si>
  <si>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</si>
  <si>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</si>
  <si>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</si>
  <si>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</si>
  <si>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</si>
  <si>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</si>
  <si>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</si>
  <si>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</si>
  <si>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</si>
  <si>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</si>
  <si>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</si>
  <si>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</si>
  <si>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</si>
  <si>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</si>
  <si>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</si>
  <si>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</si>
  <si>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</si>
  <si>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</si>
  <si>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</si>
  <si>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</si>
  <si>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</si>
  <si>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</si>
  <si>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</si>
  <si>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</si>
  <si>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</si>
  <si>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</si>
  <si>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</si>
  <si>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</si>
  <si>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</si>
  <si>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</si>
  <si>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</si>
  <si>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</si>
  <si>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</si>
  <si>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</si>
  <si>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</si>
  <si>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</si>
  <si>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</si>
  <si>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</si>
  <si>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</si>
  <si>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</si>
  <si>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</si>
  <si>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</si>
  <si>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</si>
  <si>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</si>
  <si>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</si>
  <si>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</si>
  <si>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</si>
  <si>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</si>
  <si>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</si>
  <si>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</si>
  <si>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</si>
  <si>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</si>
  <si>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</si>
  <si>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</si>
  <si>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</si>
  <si>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</si>
  <si>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</si>
  <si>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</si>
  <si>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</si>
  <si>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</si>
  <si>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</si>
  <si>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</si>
  <si>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</si>
  <si>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</si>
  <si>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</si>
  <si>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</si>
  <si>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</si>
  <si>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</si>
  <si>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</si>
  <si>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</si>
  <si>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</si>
  <si>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</si>
  <si>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</si>
  <si>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</si>
  <si>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</si>
  <si>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</si>
  <si>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</si>
  <si>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</si>
  <si>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</si>
  <si>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</si>
  <si>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</si>
  <si>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</si>
  <si>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</si>
  <si>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</si>
  <si>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</si>
  <si>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</si>
  <si>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</si>
  <si>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</si>
  <si>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</si>
  <si>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</si>
  <si>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</si>
  <si>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</si>
  <si>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</si>
  <si>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</si>
  <si>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</si>
  <si>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</si>
  <si>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</si>
  <si>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</si>
  <si>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</si>
  <si>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</si>
  <si>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</si>
  <si>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</si>
  <si>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</si>
  <si>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</si>
  <si>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</si>
  <si>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</si>
  <si>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</si>
  <si>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</si>
  <si>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</si>
  <si>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</si>
  <si>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</si>
  <si>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</si>
  <si>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</si>
  <si>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</si>
  <si>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</si>
  <si>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</si>
  <si>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</si>
  <si>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</si>
  <si>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</si>
  <si>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</si>
  <si>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</si>
  <si>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</si>
  <si>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</si>
  <si>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</si>
  <si>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</si>
  <si>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</si>
  <si>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</si>
  <si>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</si>
  <si>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</si>
  <si>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</si>
  <si>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</si>
  <si>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</si>
  <si>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</si>
  <si>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</si>
  <si>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</si>
  <si>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</si>
  <si>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</si>
  <si>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</si>
  <si>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</si>
  <si>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</si>
  <si>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</si>
  <si>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</si>
  <si>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</si>
  <si>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</si>
  <si>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</si>
  <si>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</si>
  <si>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</si>
  <si>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</si>
  <si>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</si>
  <si>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</si>
  <si>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</si>
  <si>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</si>
  <si>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</si>
  <si>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</si>
  <si>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</si>
  <si>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</si>
  <si>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</si>
  <si>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</si>
  <si>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</si>
  <si>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</si>
  <si>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</si>
  <si>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</si>
  <si>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</si>
  <si>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</si>
  <si>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</si>
  <si>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</si>
  <si>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</si>
  <si>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</si>
  <si>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</si>
  <si>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</si>
  <si>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</si>
  <si>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</si>
  <si>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</si>
  <si>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</si>
  <si>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</si>
  <si>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</si>
  <si>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</si>
  <si>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</si>
  <si>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</si>
  <si>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</si>
  <si>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</si>
  <si>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</si>
  <si>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</si>
  <si>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</si>
  <si>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</si>
  <si>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</si>
  <si>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</si>
  <si>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</si>
  <si>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</si>
  <si>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</si>
  <si>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</si>
  <si>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</si>
  <si>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</si>
  <si>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</si>
  <si>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</si>
  <si>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</si>
  <si>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</si>
  <si>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</si>
  <si>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</si>
  <si>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</si>
  <si>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</si>
  <si>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</si>
  <si>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</si>
  <si>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</si>
  <si>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</si>
  <si>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</si>
  <si>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</si>
  <si>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</si>
  <si>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</si>
  <si>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</si>
  <si>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</si>
  <si>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</si>
  <si>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</si>
  <si>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</si>
  <si>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</si>
  <si>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</si>
  <si>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</si>
  <si>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</si>
  <si>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</si>
  <si>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</si>
  <si>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</si>
  <si>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</si>
  <si>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</si>
  <si>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</si>
  <si>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</si>
  <si>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</si>
  <si>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</si>
  <si>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</si>
  <si>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</si>
  <si>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</si>
  <si>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</si>
  <si>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</si>
  <si>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</si>
  <si>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</si>
  <si>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</si>
  <si>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</si>
  <si>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</si>
  <si>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</si>
  <si>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</si>
  <si>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</si>
  <si>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</si>
  <si>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</si>
  <si>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</si>
  <si>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</si>
  <si>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</si>
  <si>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</si>
  <si>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</si>
  <si>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</si>
  <si>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</si>
  <si>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</si>
  <si>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</si>
  <si>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</si>
  <si>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</si>
  <si>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</si>
  <si>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</si>
  <si>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</si>
  <si>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</si>
  <si>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</si>
  <si>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</si>
  <si>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</si>
  <si>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</si>
  <si>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</si>
  <si>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</si>
  <si>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</si>
  <si>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</si>
  <si>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</si>
  <si>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</si>
  <si>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</si>
  <si>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</si>
  <si>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</si>
  <si>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</si>
  <si>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</si>
  <si>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</si>
  <si>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</si>
  <si>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</si>
  <si>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</si>
  <si>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</si>
  <si>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</si>
  <si>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</si>
  <si>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</si>
  <si>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</si>
  <si>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</si>
  <si>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</si>
  <si>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</si>
  <si>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</si>
  <si>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</si>
  <si>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</si>
  <si>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</si>
  <si>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</si>
  <si>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</si>
  <si>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</si>
  <si>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</si>
  <si>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</si>
  <si>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</si>
  <si>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</si>
  <si>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</si>
  <si>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</si>
  <si>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</si>
  <si>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</si>
  <si>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</si>
  <si>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</si>
  <si>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</si>
  <si>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</si>
  <si>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</si>
  <si>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</si>
  <si>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</si>
  <si>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</si>
  <si>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</si>
  <si>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</si>
  <si>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</si>
  <si>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</si>
  <si>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</si>
  <si>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</si>
  <si>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</si>
  <si>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</si>
  <si>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</si>
  <si>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</si>
  <si>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</si>
  <si>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</si>
  <si>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</si>
  <si>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</si>
  <si>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</si>
  <si>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</si>
  <si>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</si>
  <si>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</si>
  <si>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</si>
  <si>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</si>
  <si>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</si>
  <si>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</si>
  <si>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</si>
  <si>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</si>
  <si>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</si>
  <si>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</si>
  <si>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</si>
  <si>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</si>
  <si>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</si>
  <si>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</si>
  <si>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</si>
  <si>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</si>
  <si>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</si>
  <si>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</si>
  <si>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</si>
  <si>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</si>
  <si>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</si>
  <si>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</si>
  <si>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</si>
  <si>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</si>
  <si>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</si>
  <si>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</si>
  <si>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</si>
  <si>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</si>
  <si>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</si>
  <si>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</si>
  <si>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</si>
  <si>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</si>
  <si>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</si>
  <si>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</si>
  <si>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</si>
  <si>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</si>
  <si>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</si>
  <si>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</si>
  <si>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</si>
  <si>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</si>
  <si>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</si>
  <si>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</si>
  <si>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</si>
  <si>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</si>
  <si>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</si>
  <si>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</si>
  <si>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</si>
  <si>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</si>
  <si>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</si>
  <si>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</si>
  <si>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</si>
  <si>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</si>
  <si>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</si>
  <si>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</si>
  <si>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</si>
  <si>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</si>
  <si>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</si>
  <si>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</si>
  <si>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</si>
  <si>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</si>
  <si>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</si>
  <si>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</si>
  <si>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</si>
  <si>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</si>
  <si>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</si>
  <si>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</si>
  <si>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</si>
  <si>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</si>
  <si>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</si>
  <si>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</si>
  <si>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</si>
  <si>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</si>
  <si>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</si>
  <si>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</si>
  <si>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</si>
  <si>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</si>
  <si>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</si>
  <si>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</si>
  <si>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</si>
  <si>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</si>
  <si>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</si>
  <si>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</si>
  <si>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</si>
  <si>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</si>
  <si>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</si>
  <si>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</si>
  <si>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</si>
  <si>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</si>
  <si>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</si>
  <si>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</si>
  <si>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</si>
  <si>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</si>
  <si>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</si>
  <si>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</si>
  <si>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</si>
  <si>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</si>
  <si>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</si>
  <si>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</si>
  <si>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</si>
  <si>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</si>
  <si>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</si>
  <si>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</si>
  <si>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</si>
  <si>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</si>
  <si>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</si>
  <si>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</si>
  <si>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</si>
  <si>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</si>
  <si>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</si>
  <si>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</si>
  <si>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</si>
  <si>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</si>
  <si>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</si>
  <si>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</si>
  <si>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</si>
  <si>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</si>
  <si>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</si>
  <si>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</si>
  <si>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</si>
  <si>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</si>
  <si>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</si>
  <si>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</si>
  <si>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</si>
  <si>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</si>
  <si>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</si>
  <si>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</si>
  <si>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</si>
  <si>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</si>
  <si>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</si>
  <si>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</si>
  <si>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</si>
  <si>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</si>
  <si>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</si>
  <si>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</si>
  <si>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</si>
  <si>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</si>
  <si>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</si>
  <si>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</si>
  <si>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</si>
  <si>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</si>
  <si>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</si>
  <si>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</si>
  <si>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</si>
  <si>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</si>
  <si>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</si>
  <si>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</si>
  <si>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</si>
  <si>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</si>
  <si>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</si>
  <si>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</si>
  <si>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</si>
  <si>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</si>
  <si>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</si>
  <si>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</si>
  <si>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</si>
  <si>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</si>
  <si>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</si>
  <si>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</si>
  <si>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</si>
  <si>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</si>
  <si>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</si>
  <si>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</si>
  <si>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</si>
  <si>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</si>
  <si>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</si>
  <si>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</si>
  <si>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</si>
  <si>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</si>
  <si>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</si>
  <si>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</si>
  <si>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</si>
  <si>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</si>
  <si>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</si>
  <si>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</si>
  <si>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</si>
  <si>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</si>
  <si>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</si>
  <si>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</si>
  <si>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</si>
  <si>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</si>
  <si>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</si>
  <si>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</si>
  <si>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</si>
  <si>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</si>
  <si>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</si>
  <si>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</si>
  <si>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</si>
  <si>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</si>
  <si>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</si>
  <si>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</si>
  <si>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</si>
  <si>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</si>
  <si>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</si>
  <si>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</si>
  <si>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</si>
  <si>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</si>
  <si>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</si>
  <si>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</si>
  <si>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</si>
  <si>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</si>
  <si>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</si>
  <si>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</si>
  <si>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</si>
  <si>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</si>
  <si>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</si>
  <si>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</si>
  <si>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</si>
  <si>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</si>
  <si>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</si>
  <si>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</si>
  <si>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</si>
  <si>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</si>
  <si>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</si>
  <si>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</si>
  <si>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</si>
  <si>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</si>
  <si>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</si>
  <si>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</si>
  <si>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</si>
  <si>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</si>
  <si>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</si>
  <si>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</si>
  <si>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</si>
  <si>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</si>
  <si>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</si>
  <si>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</si>
  <si>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</si>
  <si>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</si>
  <si>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</si>
  <si>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</si>
  <si>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</si>
  <si>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</si>
  <si>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</si>
  <si>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</si>
  <si>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</si>
  <si>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</si>
  <si>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</si>
  <si>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</si>
  <si>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</si>
  <si>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</si>
  <si>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</si>
  <si>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</si>
  <si>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</si>
  <si>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</si>
  <si>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</si>
  <si>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</si>
  <si>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</si>
  <si>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</si>
  <si>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</si>
  <si>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</si>
  <si>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</si>
  <si>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</si>
  <si>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</si>
  <si>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</si>
  <si>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</si>
  <si>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</si>
  <si>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</si>
  <si>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</si>
  <si>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</si>
  <si>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</si>
  <si>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</si>
  <si>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</si>
  <si>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</si>
  <si>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</si>
  <si>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</si>
  <si>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</si>
  <si>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</si>
  <si>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</si>
  <si>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</si>
  <si>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</si>
  <si>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</si>
  <si>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</si>
  <si>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</si>
  <si>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</si>
  <si>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</si>
  <si>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</si>
  <si>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</si>
  <si>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</si>
  <si>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</si>
  <si>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</si>
  <si>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</si>
  <si>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</si>
  <si>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</si>
  <si>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</si>
  <si>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</si>
  <si>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</si>
  <si>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</si>
  <si>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</si>
  <si>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</si>
  <si>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</si>
  <si>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</si>
  <si>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</si>
  <si>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</si>
  <si>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</si>
  <si>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</si>
  <si>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</si>
  <si>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</si>
  <si>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</si>
  <si>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</si>
  <si>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</si>
  <si>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</si>
  <si>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</si>
  <si>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</si>
  <si>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</si>
  <si>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</si>
  <si>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</si>
  <si>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</si>
  <si>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</si>
  <si>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</si>
  <si>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</si>
  <si>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</si>
  <si>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</si>
  <si>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</si>
  <si>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</si>
  <si>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</si>
  <si>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</si>
  <si>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</si>
  <si>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</si>
  <si>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</si>
  <si>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</si>
  <si>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</si>
  <si>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</si>
  <si>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</si>
  <si>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</si>
  <si>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</si>
  <si>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</si>
  <si>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</si>
  <si>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</si>
  <si>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</si>
  <si>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</si>
  <si>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</si>
  <si>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</si>
  <si>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</si>
  <si>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</si>
  <si>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</si>
  <si>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</si>
  <si>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</si>
  <si>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</si>
  <si>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</si>
  <si>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</si>
  <si>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</si>
  <si>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</si>
  <si>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</si>
  <si>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</si>
  <si>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</si>
  <si>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</si>
  <si>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</si>
  <si>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</si>
  <si>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</si>
  <si>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</si>
  <si>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</si>
  <si>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</si>
  <si>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</si>
  <si>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</si>
  <si>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</si>
  <si>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</si>
  <si>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</si>
  <si>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</si>
  <si>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</si>
  <si>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</si>
  <si>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</si>
  <si>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</si>
  <si>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</si>
  <si>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</si>
  <si>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</si>
  <si>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</si>
  <si>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</si>
  <si>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</si>
  <si>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</si>
  <si>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</si>
  <si>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</si>
  <si>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</si>
  <si>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</si>
  <si>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</si>
  <si>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</si>
  <si>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</si>
  <si>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</si>
  <si>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</si>
  <si>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</si>
  <si>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</si>
  <si>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</si>
  <si>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</si>
  <si>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</si>
  <si>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</si>
  <si>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</si>
  <si>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</si>
  <si>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</si>
  <si>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</si>
  <si>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</si>
  <si>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</si>
  <si>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</si>
  <si>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</si>
  <si>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</si>
  <si>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</si>
  <si>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</si>
  <si>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</si>
  <si>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</si>
  <si>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</si>
  <si>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</si>
  <si>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</si>
  <si>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</si>
  <si>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</si>
  <si>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Em deslocamento para TGR</t>
  </si>
  <si>
    <t xml:space="preserve"> MC1 as 09:52h </t>
  </si>
  <si>
    <t>Em intervalo as 14:03h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</si>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</sst>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87" activePane="bottomRight" state="frozen"/>
      <selection pane="bottomRight" activeCell="L191" sqref="L1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 t="s">
        <v>1399</v>
      </c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>
        <v>0.5854166666666667</v>
      </c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ERRO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1400</v>
      </c>
      <c r="BK140" s="16" t="s">
        <v>1401</v>
      </c>
      <c r="BL140" s="15"/>
      <c r="BM140" s="14"/>
      <c r="BN140" s="14"/>
      <c r="BO140" s="164"/>
      <c r="BP140" s="16"/>
      <c r="BQ140" s="12" t="e">
        <f t="shared" si="17"/>
        <v>#VALUE!</v>
      </c>
      <c r="BR140" s="18" t="e">
        <f t="shared" si="18"/>
        <v>#VALUE!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1402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1406</v>
      </c>
      <c r="N147" s="203" t="s">
        <v>1407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1408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1409</v>
      </c>
      <c r="BK147" s="16" t="s">
        <v>1234</v>
      </c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1410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1413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1414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1415</v>
      </c>
      <c r="BK152" s="16" t="s">
        <v>1356</v>
      </c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236</v>
      </c>
      <c r="G155" s="9" t="str">
        <f>IF(D155="","*",VLOOKUP(F155,BS_ATIVIDADE[#All],3,FALSE))</f>
        <v>MODERNIZAÇÃO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1416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1417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1418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1421</v>
      </c>
      <c r="X164" s="217" t="s">
        <v>967</v>
      </c>
      <c r="Y164" s="157" t="s">
        <v>970</v>
      </c>
      <c r="Z164" s="157"/>
      <c r="AA164" s="83" t="s">
        <v>1422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1423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1424</v>
      </c>
      <c r="J166" s="216">
        <v>78</v>
      </c>
      <c r="K166" s="216">
        <v>334</v>
      </c>
      <c r="L166" s="83">
        <v>158</v>
      </c>
      <c r="M166" s="203" t="s">
        <v>1425</v>
      </c>
      <c r="N166" s="203" t="s">
        <v>1426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1427</v>
      </c>
      <c r="X166" s="217" t="s">
        <v>967</v>
      </c>
      <c r="Y166" s="157" t="s">
        <v>970</v>
      </c>
      <c r="Z166" s="157"/>
      <c r="AA166" s="83" t="s">
        <v>1428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>
        <v>0.25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>
        <v>1</v>
      </c>
      <c r="AB173" s="70" t="s">
        <v>959</v>
      </c>
      <c r="AC173" s="70"/>
      <c r="AD173" s="172" t="s">
        <v>1429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 t="s">
        <v>967</v>
      </c>
      <c r="Y179" s="157"/>
      <c r="Z179" s="157"/>
      <c r="AA179" s="83" t="s">
        <v>11</v>
      </c>
      <c r="AB179" s="70" t="s">
        <v>11</v>
      </c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1430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 t="s">
        <v>967</v>
      </c>
      <c r="Y182" s="157"/>
      <c r="Z182" s="157"/>
      <c r="AA182" s="83" t="s">
        <v>11</v>
      </c>
      <c r="AB182" s="70" t="s">
        <v>11</v>
      </c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>V8646033</v>
      </c>
      <c r="B190" s="170">
        <v>46033</v>
      </c>
      <c r="C190" s="8">
        <f>IF(BS_CONTROLE[[#This Row],[DATA]]="","",WEEKNUM(BS_CONTROLE[[#This Row],[DATA]]))</f>
        <v>3</v>
      </c>
      <c r="D190" s="51" t="s">
        <v>215</v>
      </c>
      <c r="E190" s="319">
        <v>189</v>
      </c>
      <c r="F190" s="171" t="s">
        <v>117</v>
      </c>
      <c r="G190" s="9" t="str">
        <f>IF(D190="","*",VLOOKUP(F190,BS_ATIVIDADE[#All],3,FALSE))</f>
        <v>MECANIZAÇÃO - SOCADORA</v>
      </c>
      <c r="H190" s="172" t="s">
        <v>428</v>
      </c>
      <c r="I190" s="172" t="s">
        <v>428</v>
      </c>
      <c r="J190" s="216">
        <v>98</v>
      </c>
      <c r="K190" s="216">
        <v>733</v>
      </c>
      <c r="L190" s="83">
        <v>740</v>
      </c>
      <c r="M190" s="203" t="s">
        <v>430</v>
      </c>
      <c r="N190" s="203" t="s">
        <v>431</v>
      </c>
      <c r="O190" s="172">
        <v>0.4375</v>
      </c>
      <c r="P190" s="172">
        <v>0.25</v>
      </c>
      <c r="Q190" s="83">
        <v>3360</v>
      </c>
      <c r="R190" s="10" t="s">
        <v>38</v>
      </c>
      <c r="S190" s="288" t="s">
        <v>369</v>
      </c>
      <c r="T190" s="288" t="s">
        <v>373</v>
      </c>
      <c r="U190" s="80" t="s">
        <v>372</v>
      </c>
      <c r="V190" s="197" t="s">
        <v>1224</v>
      </c>
      <c r="W190" s="172" t="s">
        <v>1225</v>
      </c>
      <c r="X190" s="217" t="s">
        <v>967</v>
      </c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83" t="str">
        <f>IF(BS_CONTROLE[[#This Row],[Local - Partida]]=0, "-", BS_CONTROLE[[#This Row],[Local - Partida]])</f>
        <v>TSF1</v>
      </c>
      <c r="AL190" s="283" t="str">
        <f>IF(BS_CONTROLE[[#This Row],[Local - Encerramento]]=0, "-", BS_CONTROLE[[#This Row],[Local - Encerramento]])</f>
        <v>TSF1</v>
      </c>
      <c r="AM190" s="283" t="str">
        <f>IF(BS_CONTROLE[[#This Row],[Entre - Estações]]=0, "-", BS_CONTROLE[[#This Row],[Entre - Estações]])</f>
        <v>TSF-TRO</v>
      </c>
      <c r="AN190" s="283" t="str">
        <f>IF(BS_CONTROLE[[#This Row],[SB]]=0, "-", BS_CONTROLE[[#This Row],[SB]])</f>
        <v>TSF732</v>
      </c>
      <c r="AO190" s="284">
        <f>IF(BS_CONTROLE[[#This Row],[SUB]]=0, "-", BS_CONTROLE[[#This Row],[SUB]])</f>
        <v>98</v>
      </c>
      <c r="AP190" s="285">
        <f>IF(BS_CONTROLE[[#This Row],[KM - Inicio]]=0, "-", BS_CONTROLE[[#This Row],[KM - Inicio]])</f>
        <v>733</v>
      </c>
      <c r="AQ190" s="285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8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6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>
        <v>189.5</v>
      </c>
      <c r="L195" s="83">
        <v>7.5</v>
      </c>
      <c r="M195" s="203" t="s">
        <v>789</v>
      </c>
      <c r="N195" s="203" t="s">
        <v>790</v>
      </c>
      <c r="O195" s="172">
        <v>0.41666666666666669</v>
      </c>
      <c r="P195" s="172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7" t="s">
        <v>1250</v>
      </c>
      <c r="W195" s="172" t="s">
        <v>1431</v>
      </c>
      <c r="X195" s="217" t="s">
        <v>967</v>
      </c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ZFH</v>
      </c>
      <c r="AN195" s="283" t="str">
        <f>IF(BS_CONTROLE[[#This Row],[SB]]=0, "-", BS_CONTROLE[[#This Row],[SB]])</f>
        <v>ZFH1</v>
      </c>
      <c r="AO195" s="284">
        <f>IF(BS_CONTROLE[[#This Row],[SUB]]=0, "-", BS_CONTROLE[[#This Row],[SUB]])</f>
        <v>78</v>
      </c>
      <c r="AP195" s="285">
        <f>IF(BS_CONTROLE[[#This Row],[KM - Inicio]]=0, "-", BS_CONTROLE[[#This Row],[KM - Inicio]])</f>
        <v>189.5</v>
      </c>
      <c r="AQ195" s="285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1432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236</v>
      </c>
      <c r="G219" s="9" t="str">
        <f>IF(D219="","*",VLOOKUP(F219,BS_ATIVIDADE[#All],3,FALSE))</f>
        <v>MODERNIZAÇÃO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>
        <v>500</v>
      </c>
      <c r="R219" s="10" t="str">
        <f>IFERROR(_xlfn.XLOOKUP(F219, BS_ATIVIDADE[ATIVIDADE],BS_ATIVIDADE[UNIDADE] ), "*")</f>
        <v>M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31" sqref="U303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1433</v>
      </c>
      <c r="W1" s="387"/>
      <c r="X1" s="387"/>
      <c r="Y1" s="103"/>
    </row>
    <row r="2" spans="1:25" s="100" customFormat="1" ht="11.25" customHeight="1">
      <c r="A2" s="104" t="s">
        <v>1434</v>
      </c>
      <c r="B2" s="104" t="s">
        <v>1435</v>
      </c>
      <c r="C2" s="104" t="s">
        <v>7</v>
      </c>
      <c r="D2" s="105" t="s">
        <v>1173</v>
      </c>
      <c r="E2" s="105" t="s">
        <v>1174</v>
      </c>
      <c r="F2" s="105" t="s">
        <v>1436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1437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IF(FN_MC!Y179="","*",FN_MC!Y179)</f>
        <v>*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Oportunidade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>
      <c r="A185" s="108" t="str">
        <f>IF(FN_MC!Y182="","*",FN_MC!Y182)</f>
        <v>*</v>
      </c>
      <c r="B185" s="108" t="str">
        <f>IF(FN_MC!X182="","*",FN_MC!X182)</f>
        <v>Oportunidade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IF(FN_MC!Y190="","*",FN_MC!Y190)</f>
        <v>*</v>
      </c>
      <c r="B193" s="108" t="str">
        <f>IF(FN_MC!X190="","*",FN_MC!X190)</f>
        <v>Oportunidade</v>
      </c>
      <c r="C193" s="108" t="str">
        <f>IF(FN_MC!Z190="","*",FN_MC!Z190)</f>
        <v>*</v>
      </c>
      <c r="D193" s="109" t="str">
        <f>IF(FN_MC!S190="","*",FN_MC!S190)</f>
        <v>FERRONORTE</v>
      </c>
      <c r="E193" s="109" t="str">
        <f>IF(FN_MC!T190="","*",FN_MC!T190)</f>
        <v>TGR-TRO</v>
      </c>
      <c r="F193" s="109">
        <f>IF(FN_MC!B190="","*",FN_MC!B190)</f>
        <v>46033</v>
      </c>
      <c r="G193" s="109" t="str">
        <f>IF(FN_MC!D190="","*",FN_MC!D190)</f>
        <v>V86</v>
      </c>
      <c r="H193" s="109" t="str">
        <f>IF(FN_MC!F190="","*",FN_MC!F190)</f>
        <v>MECANIZAÇÃO - SOCADORA</v>
      </c>
      <c r="I193" s="109" t="str">
        <f>IF(FN_MC!H190="","*",FN_MC!H190)</f>
        <v>TSF1</v>
      </c>
      <c r="J193" s="109" t="str">
        <f>IF(FN_MC!I190="","*",FN_MC!I190)</f>
        <v>TSF1</v>
      </c>
      <c r="K193" s="109" t="str">
        <f>IF(FN_MC!M190="","*",FN_MC!M190)</f>
        <v>TSF-TRO</v>
      </c>
      <c r="L193" s="333" t="str">
        <f>IF(FN_MC!N190="","*",FN_MC!N190)</f>
        <v>TSF732</v>
      </c>
      <c r="M193" s="110">
        <f>IF(FN_MC!J190="","*",FN_MC!J190)</f>
        <v>98</v>
      </c>
      <c r="N193" s="295">
        <f>IF(FN_MC!K190="","*",FN_MC!K190)</f>
        <v>733</v>
      </c>
      <c r="O193" s="295">
        <f>IF(FN_MC!L190="","*",FN_MC!L190)</f>
        <v>740</v>
      </c>
      <c r="P193" s="110"/>
      <c r="Q193" s="127">
        <f>IF(FN_MC!O190="","*",FN_MC!O190)</f>
        <v>0.4375</v>
      </c>
      <c r="R193" s="127">
        <f>IF(FN_MC!P190="","*",FN_MC!P190)</f>
        <v>0.25</v>
      </c>
      <c r="S193" s="109" t="str">
        <f>IF(FN_MC!Q190="","*",CONCATENATE(FN_MC!Q190," ",FN_MC!R190))</f>
        <v>3360 M</v>
      </c>
      <c r="T193" s="109" t="str">
        <f>IF(FN_MC!V190="","*",FN_MC!V190)</f>
        <v>Antonioni</v>
      </c>
      <c r="U193" s="109" t="str">
        <f>IF(FN_MC!W190="","*",FN_MC!W190)</f>
        <v>Socaria mecanizada</v>
      </c>
      <c r="V193" s="111">
        <f ca="1">_xlfn.XLOOKUP(G193&amp;$V$2,BS_CONTROLE[CHAVE],BS_CONTROLE[Quantidade_11],"-")</f>
        <v>2900</v>
      </c>
      <c r="W193" s="111">
        <f ca="1">_xlfn.XLOOKUP(G193&amp;$W$2,BS_CONTROLE[CHAVE],BS_CONTROLE[Quantidade_11],"-")</f>
        <v>4073</v>
      </c>
      <c r="X193" s="111">
        <f ca="1">_xlfn.XLOOKUP(G193&amp;$X$2,BS_CONTROLE[CHAVE],BS_CONTROLE[Quantidade_11],"-")</f>
        <v>1700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IF(FN_MC!Y195="","*",FN_MC!Y195)</f>
        <v>*</v>
      </c>
      <c r="B198" s="108" t="str">
        <f>IF(FN_MC!X195="","*",FN_MC!X195)</f>
        <v>Oportunidade</v>
      </c>
      <c r="C198" s="108" t="str">
        <f>IF(FN_MC!Z195="","*",FN_MC!Z195)</f>
        <v>*</v>
      </c>
      <c r="D198" s="109" t="str">
        <f>IF(FN_MC!S195="","*",FN_MC!S195)</f>
        <v>MALHA CENTRAL</v>
      </c>
      <c r="E198" s="109" t="str">
        <f>IF(FN_MC!T195="","*",FN_MC!T195)</f>
        <v>RAMAL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ZFH</v>
      </c>
      <c r="L198" s="333" t="str">
        <f>IF(FN_MC!N195="","*",FN_MC!N195)</f>
        <v>ZFH1</v>
      </c>
      <c r="M198" s="110">
        <f>IF(FN_MC!J195="","*",FN_MC!J195)</f>
        <v>78</v>
      </c>
      <c r="N198" s="295">
        <f>IF(FN_MC!K195="","*",FN_MC!K195)</f>
        <v>189.5</v>
      </c>
      <c r="O198" s="295">
        <f>IF(FN_MC!L195="","*",FN_MC!L195)</f>
        <v>7.5</v>
      </c>
      <c r="P198" s="110"/>
      <c r="Q198" s="127">
        <f>IF(FN_MC!O195="","*",FN_MC!O195)</f>
        <v>0.41666666666666669</v>
      </c>
      <c r="R198" s="127">
        <f>IF(FN_MC!P195="","*",FN_MC!P195)</f>
        <v>4.1666666666666664E-2</v>
      </c>
      <c r="S198" s="109" t="str">
        <f>IF(FN_MC!Q195="","*",CONCATENATE(FN_MC!Q195," ",FN_MC!R195))</f>
        <v>1 BINÁRIO</v>
      </c>
      <c r="T198" s="109" t="str">
        <f>IF(FN_MC!V195="","*",FN_MC!V195)</f>
        <v>PCM</v>
      </c>
      <c r="U198" s="109" t="str">
        <f>IF(FN_MC!W195="","*",FN_MC!W195)</f>
        <v>Deslocamento de ZFH para ZTO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MODERNIZAÇÃO - 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500 M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1438</v>
      </c>
    </row>
  </sheetData>
  <autoFilter ref="A2:Y3000" xr:uid="{D1126E52-FA3F-4EAC-A720-DDE9797BEFF6}">
    <filterColumn colId="5">
      <filters>
        <dateGroupItem year="2026" month="1" day="10" dateTimeGrouping="day"/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1440</v>
      </c>
      <c r="E3" s="321" t="s">
        <v>1441</v>
      </c>
      <c r="F3" s="321" t="s">
        <v>1442</v>
      </c>
      <c r="G3" s="321" t="s">
        <v>1443</v>
      </c>
      <c r="H3" s="321" t="s">
        <v>1444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1445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1446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1447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1448</v>
      </c>
      <c r="C4" s="326" t="s">
        <v>1449</v>
      </c>
      <c r="D4" s="326" t="s">
        <v>1450</v>
      </c>
      <c r="E4" s="326" t="s">
        <v>1451</v>
      </c>
      <c r="F4" s="326" t="s">
        <v>362</v>
      </c>
      <c r="G4" s="326" t="s">
        <v>1452</v>
      </c>
      <c r="H4" s="191"/>
    </row>
    <row r="5" spans="1:8" ht="43.5">
      <c r="A5" s="191"/>
      <c r="B5" s="327" t="s">
        <v>1453</v>
      </c>
      <c r="C5" s="327">
        <v>309525</v>
      </c>
      <c r="D5" s="327" t="s">
        <v>1454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1455</v>
      </c>
      <c r="C6" s="327">
        <v>256875</v>
      </c>
      <c r="D6" s="327" t="s">
        <v>1456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1457</v>
      </c>
      <c r="C7" s="327">
        <v>257278</v>
      </c>
      <c r="D7" s="327" t="s">
        <v>1458</v>
      </c>
      <c r="E7" s="327" t="s">
        <v>240</v>
      </c>
      <c r="F7" s="327" t="s">
        <v>1459</v>
      </c>
      <c r="G7" s="328">
        <v>46235</v>
      </c>
      <c r="H7" s="191"/>
    </row>
    <row r="8" spans="1:8" ht="43.5">
      <c r="A8" s="191"/>
      <c r="B8" s="327" t="s">
        <v>1460</v>
      </c>
      <c r="C8" s="327">
        <v>261794</v>
      </c>
      <c r="D8" s="327" t="s">
        <v>1461</v>
      </c>
      <c r="E8" s="327" t="s">
        <v>240</v>
      </c>
      <c r="F8" s="327" t="s">
        <v>1459</v>
      </c>
      <c r="G8" s="328">
        <v>46082</v>
      </c>
      <c r="H8" s="191"/>
    </row>
    <row r="9" spans="1:8" ht="43.5">
      <c r="A9" s="191"/>
      <c r="B9" s="327" t="s">
        <v>1462</v>
      </c>
      <c r="C9" s="327">
        <v>257033</v>
      </c>
      <c r="D9" s="327" t="s">
        <v>1463</v>
      </c>
      <c r="E9" s="327" t="s">
        <v>240</v>
      </c>
      <c r="F9" s="327" t="s">
        <v>549</v>
      </c>
      <c r="G9" s="327" t="s">
        <v>1464</v>
      </c>
      <c r="H9" s="191"/>
    </row>
    <row r="10" spans="1:8" ht="43.5">
      <c r="A10" s="191"/>
      <c r="B10" s="327" t="s">
        <v>1465</v>
      </c>
      <c r="C10" s="327">
        <v>396578</v>
      </c>
      <c r="D10" s="327" t="s">
        <v>1466</v>
      </c>
      <c r="E10" s="327" t="s">
        <v>240</v>
      </c>
      <c r="F10" s="327" t="s">
        <v>549</v>
      </c>
      <c r="G10" s="327" t="s">
        <v>1464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1467</v>
      </c>
      <c r="C2" s="95" t="s">
        <v>1158</v>
      </c>
      <c r="D2" s="95" t="s">
        <v>1160</v>
      </c>
      <c r="E2" s="95" t="s">
        <v>1468</v>
      </c>
      <c r="F2" s="95" t="s">
        <v>1469</v>
      </c>
      <c r="G2" s="95" t="s">
        <v>1470</v>
      </c>
      <c r="H2" s="95" t="s">
        <v>1471</v>
      </c>
      <c r="I2" s="95" t="s">
        <v>1472</v>
      </c>
      <c r="J2" s="95" t="s">
        <v>1473</v>
      </c>
      <c r="K2" s="130" t="s">
        <v>1474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1475</v>
      </c>
      <c r="D5" s="392"/>
      <c r="E5" s="392"/>
      <c r="F5" s="392"/>
      <c r="G5" s="392"/>
      <c r="H5" s="392"/>
      <c r="I5" s="392"/>
      <c r="J5" s="393"/>
      <c r="K5" s="394" t="s">
        <v>1476</v>
      </c>
      <c r="L5" s="395"/>
      <c r="M5" s="395"/>
      <c r="N5" s="395"/>
      <c r="O5" s="396" t="s">
        <v>1477</v>
      </c>
      <c r="P5" s="397"/>
      <c r="Q5" s="398"/>
    </row>
    <row r="6" spans="1:17" s="93" customFormat="1" ht="15.75" customHeight="1">
      <c r="A6" s="87" t="s">
        <v>1436</v>
      </c>
      <c r="B6" s="94" t="s">
        <v>1435</v>
      </c>
      <c r="C6" s="95" t="s">
        <v>1173</v>
      </c>
      <c r="D6" s="96" t="s">
        <v>1174</v>
      </c>
      <c r="E6" s="95" t="s">
        <v>1478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1479</v>
      </c>
      <c r="M6" s="138" t="s">
        <v>30</v>
      </c>
      <c r="N6" s="139" t="s">
        <v>1168</v>
      </c>
      <c r="O6" s="245" t="s">
        <v>1211</v>
      </c>
      <c r="P6" s="156"/>
      <c r="Q6" s="192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Em deslocamento para 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Em intervalo as 14:03h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Em descarga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53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53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1480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2026-01-09T18:35:08Z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