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747" documentId="8_{B6337239-1A00-434D-AAD0-422EA1FEB5AE}" xr6:coauthVersionLast="47" xr6:coauthVersionMax="47" xr10:uidLastSave="{5F1DE3C2-B212-498E-95FC-9362CE7227C0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4" i="1" l="1" a="1"/>
  <c r="N114" i="1" s="1"/>
  <c r="M114" i="1" a="1"/>
  <c r="M114" i="1" s="1"/>
  <c r="U96" i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L159" i="16"/>
  <c r="R136" i="1"/>
  <c r="R159" i="16" s="1"/>
  <c r="S136" i="1" a="1"/>
  <c r="S136" i="1" s="1"/>
  <c r="D159" i="16" s="1"/>
  <c r="T136" i="1" a="1"/>
  <c r="T136" i="1" s="1"/>
  <c r="E159" i="16" s="1"/>
  <c r="AI136" i="1"/>
  <c r="BB136" i="1" s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6" i="1" l="1"/>
  <c r="AJ126" i="1"/>
  <c r="AJ133" i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<sst xmlns="http://schemas.openxmlformats.org/spreadsheetml/2006/main" count="5351" uniqueCount="1519">
  <si>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</si>
  <si>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</si>
  <si>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</si>
  <si>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</si>
  <si>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</si>
  <si>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</si>
  <si>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</si>
  <si>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</si>
  <si>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</si>
  <si>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</si>
  <si>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</si>
  <si>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</si>
  <si>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</si>
  <si>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</si>
  <si>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</si>
  <si>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</si>
  <si>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</si>
  <si>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</si>
  <si>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</si>
  <si>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</si>
  <si>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</si>
  <si>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</si>
  <si>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</si>
  <si>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</si>
  <si>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</si>
  <si>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</si>
  <si>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</si>
  <si>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</si>
  <si>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</si>
  <si>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</si>
  <si>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</si>
  <si>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</si>
  <si>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</si>
  <si>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</si>
  <si>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</si>
  <si>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</si>
  <si>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</si>
  <si>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</si>
  <si>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</si>
  <si>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</si>
  <si>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</si>
  <si>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</si>
  <si>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</si>
  <si>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</si>
  <si>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</si>
  <si>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</si>
  <si>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</si>
  <si>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</si>
  <si>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</si>
  <si>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</si>
  <si>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</si>
  <si>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</si>
  <si>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</si>
  <si>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</si>
  <si>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</si>
  <si>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</si>
  <si>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</si>
  <si>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</si>
  <si>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</si>
  <si>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</si>
  <si>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</si>
  <si>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</si>
  <si>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</si>
  <si>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</si>
  <si>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</si>
  <si>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</si>
  <si>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</si>
  <si>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</si>
  <si>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</si>
  <si>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</si>
  <si>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</si>
  <si>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</si>
  <si>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</si>
  <si>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</si>
  <si>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</si>
  <si>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</si>
  <si>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</si>
  <si>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</si>
  <si>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</si>
  <si>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</si>
  <si>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</si>
  <si>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</si>
  <si>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</si>
  <si>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</si>
  <si>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</si>
  <si>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</si>
  <si>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</si>
  <si>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</si>
  <si>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</si>
  <si>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</si>
  <si>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</si>
  <si>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</si>
  <si>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</si>
  <si>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</si>
  <si>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</si>
  <si>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</si>
  <si>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</si>
  <si>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</si>
  <si>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</si>
  <si>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</si>
  <si>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</si>
  <si>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</si>
  <si>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</si>
  <si>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</si>
  <si>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</si>
  <si>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</si>
  <si>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</si>
  <si>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</si>
  <si>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</si>
  <si>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</si>
  <si>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</si>
  <si>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</si>
  <si>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</si>
  <si>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</si>
  <si>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</si>
  <si>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</si>
  <si>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</si>
  <si>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</si>
  <si>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</si>
  <si>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</si>
  <si>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</si>
  <si>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</si>
  <si>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</si>
  <si>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</si>
  <si>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</si>
  <si>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</si>
  <si>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</si>
  <si>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</si>
  <si>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</si>
  <si>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</si>
  <si>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</si>
  <si>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</si>
  <si>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</si>
  <si>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</si>
  <si>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</si>
  <si>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</si>
  <si>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</si>
  <si>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</si>
  <si>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</si>
  <si>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</si>
  <si>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</si>
  <si>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</si>
  <si>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</si>
  <si>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</si>
  <si>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</si>
  <si>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</si>
  <si>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</si>
  <si>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</si>
  <si>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</si>
  <si>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</si>
  <si>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</si>
  <si>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</si>
  <si>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</si>
  <si>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</si>
  <si>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</si>
  <si>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</si>
  <si>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</si>
  <si>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</si>
  <si>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</si>
  <si>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</si>
  <si>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</si>
  <si>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</si>
  <si>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</si>
  <si>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</si>
  <si>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</si>
  <si>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</si>
  <si>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</si>
  <si>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</si>
  <si>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</si>
  <si>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</si>
  <si>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</si>
  <si>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</si>
  <si>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</si>
  <si>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</si>
  <si>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</si>
  <si>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</si>
  <si>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</si>
  <si>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</si>
  <si>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</si>
  <si>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</si>
  <si>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</si>
  <si>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</si>
  <si>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</si>
  <si>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</si>
  <si>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</si>
  <si>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</si>
  <si>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</si>
  <si>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</si>
  <si>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</si>
  <si>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</si>
  <si>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</si>
  <si>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</si>
  <si>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</si>
  <si>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</si>
  <si>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</si>
  <si>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</si>
  <si>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</si>
  <si>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</si>
  <si>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</si>
  <si>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</si>
  <si>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</si>
  <si>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</si>
  <si>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</si>
  <si>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</si>
  <si>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</si>
  <si>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</si>
  <si>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</si>
  <si>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</si>
  <si>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</si>
  <si>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</si>
  <si>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</si>
  <si>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</si>
  <si>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</si>
  <si>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</si>
  <si>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</si>
  <si>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</si>
  <si>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</si>
  <si>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</si>
  <si>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</si>
  <si>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</si>
  <si>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</si>
  <si>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</si>
  <si>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</si>
  <si>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</si>
  <si>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</si>
  <si>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</si>
  <si>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</si>
  <si>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</si>
  <si>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</si>
  <si>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</si>
  <si>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</si>
  <si>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</si>
  <si>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</si>
  <si>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</si>
  <si>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</si>
  <si>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</si>
  <si>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</si>
  <si>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</si>
  <si>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</si>
  <si>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</si>
  <si>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</si>
  <si>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</si>
  <si>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</si>
  <si>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</si>
  <si>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</si>
  <si>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</si>
  <si>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</si>
  <si>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</si>
  <si>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</si>
  <si>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</si>
  <si>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</si>
  <si>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</si>
  <si>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</si>
  <si>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</si>
  <si>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</si>
  <si>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</si>
  <si>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</si>
  <si>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</si>
  <si>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</si>
  <si>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</si>
  <si>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</si>
  <si>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</si>
  <si>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</si>
  <si>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</si>
  <si>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</si>
  <si>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</si>
  <si>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</si>
  <si>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</si>
  <si>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</si>
  <si>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</si>
  <si>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</si>
  <si>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</si>
  <si>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</si>
  <si>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</si>
  <si>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</si>
  <si>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</si>
  <si>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</si>
  <si>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</si>
  <si>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</si>
  <si>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</si>
  <si>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</si>
  <si>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</si>
  <si>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</si>
  <si>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</si>
  <si>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</si>
  <si>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</si>
  <si>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</si>
  <si>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</si>
  <si>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</si>
  <si>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</si>
  <si>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</si>
  <si>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</si>
  <si>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</si>
  <si>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</si>
  <si>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</si>
  <si>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</si>
  <si>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</si>
  <si>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</si>
  <si>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</si>
  <si>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</si>
  <si>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</si>
  <si>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</si>
  <si>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</si>
  <si>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</si>
  <si>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</si>
  <si>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</si>
  <si>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</si>
  <si>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</si>
  <si>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</si>
  <si>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</si>
  <si>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</si>
  <si>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</si>
  <si>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</si>
  <si>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</si>
  <si>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</si>
  <si>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</si>
  <si>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</si>
  <si>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</si>
  <si>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</si>
  <si>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</si>
  <si>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</si>
  <si>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</si>
  <si>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</si>
  <si>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</si>
  <si>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</si>
  <si>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</si>
  <si>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</si>
  <si>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</si>
  <si>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</si>
  <si>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</si>
  <si>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</si>
  <si>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</si>
  <si>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</si>
  <si>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</si>
  <si>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</si>
  <si>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</si>
  <si>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</si>
  <si>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</si>
  <si>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</si>
  <si>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</si>
  <si>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</si>
  <si>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</si>
  <si>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</si>
  <si>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</si>
  <si>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</si>
  <si>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</si>
  <si>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</si>
  <si>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</si>
  <si>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</si>
  <si>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</si>
  <si>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</si>
  <si>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</si>
  <si>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</si>
  <si>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</si>
  <si>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</si>
  <si>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</si>
  <si>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</si>
  <si>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</si>
  <si>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</si>
  <si>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</si>
  <si>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</si>
  <si>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</si>
  <si>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</si>
  <si>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</si>
  <si>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</si>
  <si>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</si>
  <si>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</si>
  <si>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</si>
  <si>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</si>
  <si>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</si>
  <si>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</si>
  <si>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</si>
  <si>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</si>
  <si>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</si>
  <si>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</si>
  <si>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</si>
  <si>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</si>
  <si>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</si>
  <si>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</si>
  <si>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</si>
  <si>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</si>
  <si>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</si>
  <si>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</si>
  <si>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</si>
  <si>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</si>
  <si>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</si>
  <si>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</si>
  <si>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</si>
  <si>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</si>
  <si>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</si>
  <si>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</si>
  <si>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</si>
  <si>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</si>
  <si>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</si>
  <si>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</si>
  <si>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</si>
  <si>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</si>
  <si>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</si>
  <si>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</si>
  <si>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</si>
  <si>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</si>
  <si>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</si>
  <si>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</si>
  <si>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</si>
  <si>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</si>
  <si>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</si>
  <si>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</si>
  <si>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</si>
  <si>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</si>
  <si>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</si>
  <si>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</si>
  <si>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</si>
  <si>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</si>
  <si>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</si>
  <si>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</si>
  <si>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</si>
  <si>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</si>
  <si>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</si>
  <si>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</si>
  <si>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</si>
  <si>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</si>
  <si>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</si>
  <si>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</si>
  <si>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</si>
  <si>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</si>
  <si>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</si>
  <si>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</si>
  <si>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</si>
  <si>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</si>
  <si>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</si>
  <si>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</si>
  <si>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</si>
  <si>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</si>
  <si>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</si>
  <si>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</si>
  <si>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</si>
  <si>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</si>
  <si>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</si>
  <si>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</si>
  <si>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</si>
  <si>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</si>
  <si>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</si>
  <si>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</si>
  <si>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</si>
  <si>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</si>
  <si>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</si>
  <si>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</si>
  <si>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</si>
  <si>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</si>
  <si>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</si>
  <si>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</si>
  <si>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</si>
  <si>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</si>
  <si>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</si>
  <si>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</si>
  <si>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</si>
  <si>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</si>
  <si>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</si>
  <si>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</si>
  <si>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</si>
  <si>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</si>
  <si>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</si>
  <si>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</si>
  <si>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</si>
  <si>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</si>
  <si>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</si>
  <si>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</si>
  <si>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</si>
  <si>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</si>
  <si>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</si>
  <si>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</si>
  <si>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</si>
  <si>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</si>
  <si>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</si>
  <si>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</si>
  <si>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</si>
  <si>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</si>
  <si>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</si>
  <si>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</si>
  <si>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</si>
  <si>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</si>
  <si>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</si>
  <si>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</si>
  <si>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</si>
  <si>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</si>
  <si>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</si>
  <si>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</si>
  <si>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</si>
  <si>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</si>
  <si>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</si>
  <si>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</si>
  <si>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</si>
  <si>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</si>
  <si>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</si>
  <si>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</si>
  <si>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</si>
  <si>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</si>
  <si>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</si>
  <si>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</si>
  <si>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</si>
  <si>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</si>
  <si>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</si>
  <si>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</si>
  <si>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</si>
  <si>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</si>
  <si>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</si>
  <si>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</si>
  <si>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</si>
  <si>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</si>
  <si>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</si>
  <si>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</si>
  <si>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</si>
  <si>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</si>
  <si>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</si>
  <si>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</si>
  <si>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</si>
  <si>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</si>
  <si>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</si>
  <si>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</si>
  <si>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</si>
  <si>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</si>
  <si>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</si>
  <si>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</si>
  <si>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</si>
  <si>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</si>
  <si>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</si>
  <si>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</si>
  <si>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</si>
  <si>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</si>
  <si>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</si>
  <si>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</si>
  <si>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</si>
  <si>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</si>
  <si>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</si>
  <si>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</si>
  <si>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</si>
  <si>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</si>
  <si>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</si>
  <si>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</si>
  <si>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</si>
  <si>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</si>
  <si>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</si>
  <si>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</si>
  <si>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</si>
  <si>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</si>
  <si>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</si>
  <si>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</si>
  <si>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</si>
  <si>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</si>
  <si>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</si>
  <si>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</si>
  <si>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</si>
  <si>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</si>
  <si>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</si>
  <si>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</si>
  <si>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</si>
  <si>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</si>
  <si>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</si>
  <si>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</si>
  <si>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</si>
  <si>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</si>
  <si>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</si>
  <si>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</si>
  <si>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</si>
  <si>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</si>
  <si>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</si>
  <si>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</si>
  <si>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</si>
  <si>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</si>
  <si>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</si>
  <si>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</si>
  <si>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</si>
  <si>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</si>
  <si>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</si>
  <si>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</si>
  <si>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</si>
  <si>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</si>
  <si>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</si>
  <si>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</si>
  <si>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</si>
  <si>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</si>
  <si>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</si>
  <si>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</si>
  <si>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</si>
  <si>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</si>
  <si>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</si>
  <si>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</si>
  <si>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</si>
  <si>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</si>
  <si>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</si>
  <si>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</si>
  <si>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</si>
  <si>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</si>
  <si>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</si>
  <si>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</si>
  <si>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</si>
  <si>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</si>
  <si>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</si>
  <si>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</si>
  <si>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</si>
  <si>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</si>
  <si>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</si>
  <si>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</si>
  <si>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</si>
  <si>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</si>
  <si>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</si>
  <si>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</si>
  <si>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</si>
  <si>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</si>
  <si>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</si>
  <si>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</si>
  <si>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</si>
  <si>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</si>
  <si>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</si>
  <si>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</si>
  <si>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</si>
  <si>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</si>
  <si>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</si>
  <si>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</si>
  <si>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</si>
  <si>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</si>
  <si>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</si>
  <si>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</si>
  <si>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</si>
  <si>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</si>
  <si>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</si>
  <si>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</si>
  <si>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</si>
  <si>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</si>
  <si>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</si>
  <si>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</si>
  <si>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</si>
  <si>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</si>
  <si>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</si>
  <si>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</si>
  <si>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</si>
  <si>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</si>
  <si>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</si>
  <si>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</si>
  <si>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</si>
  <si>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</si>
  <si>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</si>
  <si>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</si>
  <si>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</si>
  <si>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</si>
  <si>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</si>
  <si>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</si>
  <si>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</si>
  <si>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</si>
  <si>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</si>
  <si>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</si>
  <si>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</si>
  <si>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</si>
  <si>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</si>
  <si>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</si>
  <si>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</si>
  <si>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</si>
  <si>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</si>
  <si>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</si>
  <si>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</si>
  <si>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</si>
  <si>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</si>
  <si>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</si>
  <si>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</si>
  <si>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</si>
  <si>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</si>
  <si>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</si>
  <si>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</si>
  <si>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</si>
  <si>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</si>
  <si>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</si>
  <si>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</si>
  <si>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</si>
  <si>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</si>
  <si>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</si>
  <si>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</si>
  <si>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</si>
  <si>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</si>
  <si>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</si>
  <si>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</si>
  <si>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</si>
  <si>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</si>
  <si>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</si>
  <si>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</si>
  <si>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</si>
  <si>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</si>
  <si>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</si>
  <si>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</si>
  <si>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</si>
  <si>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</si>
  <si>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</si>
  <si>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</si>
  <si>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</si>
  <si>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</si>
  <si>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</si>
  <si>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</si>
  <si>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</si>
  <si>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</si>
  <si>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</si>
  <si>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</si>
  <si>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</si>
  <si>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</si>
  <si>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</si>
  <si>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</si>
  <si>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</si>
  <si>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</si>
  <si>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</si>
  <si>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</si>
  <si>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</si>
  <si>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</si>
  <si>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</si>
  <si>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</si>
  <si>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</si>
  <si>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</si>
  <si>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</si>
  <si>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</si>
  <si>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</si>
  <si>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</si>
  <si>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</si>
  <si>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</si>
  <si>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</si>
  <si>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</si>
  <si>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</si>
  <si>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</si>
  <si>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</si>
  <si>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</si>
  <si>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</si>
  <si>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</si>
  <si>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</si>
  <si>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</si>
  <si>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</si>
  <si>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</si>
  <si>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</si>
  <si>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</si>
  <si>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</si>
  <si>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</si>
  <si>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</si>
  <si>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</si>
  <si>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</si>
  <si>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</si>
  <si>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</si>
  <si>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</si>
  <si>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</si>
  <si>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</si>
  <si>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</si>
  <si>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</si>
  <si>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</si>
  <si>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</si>
  <si>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</si>
  <si>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</si>
  <si>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</si>
  <si>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</si>
  <si>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</si>
  <si>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</si>
  <si>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</si>
  <si>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</si>
  <si>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</si>
  <si>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</si>
  <si>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</si>
  <si>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</si>
  <si>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</si>
  <si>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</si>
  <si>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</si>
  <si>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</si>
  <si>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</si>
  <si>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</si>
  <si>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</si>
  <si>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</si>
  <si>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</si>
  <si>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</si>
  <si>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</si>
  <si>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</si>
  <si>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</si>
  <si>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</si>
  <si>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</si>
  <si>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</si>
  <si>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</si>
  <si>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</si>
  <si>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</si>
  <si>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</si>
  <si>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</si>
  <si>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</si>
  <si>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</si>
  <si>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</si>
  <si>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</si>
  <si>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</si>
  <si>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</si>
  <si>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</si>
  <si>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</si>
  <si>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</si>
  <si>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</si>
  <si>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</si>
  <si>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</si>
  <si>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</si>
  <si>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</si>
  <si>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</si>
  <si>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</si>
  <si>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</si>
  <si>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</si>
  <si>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</si>
  <si>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</si>
  <si>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</si>
  <si>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</si>
  <si>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</si>
  <si>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</si>
  <si>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</si>
  <si>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</si>
  <si>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</si>
  <si>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</si>
  <si>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</si>
  <si>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</si>
  <si>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</si>
  <si>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</si>
  <si>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</si>
  <si>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</si>
  <si>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</si>
  <si>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</si>
  <si>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</si>
  <si>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</si>
  <si>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</si>
  <si>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</si>
  <si>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</si>
  <si>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</si>
  <si>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</si>
  <si>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</si>
  <si>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</si>
  <si>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</si>
  <si>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</si>
  <si>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</si>
  <si>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</si>
  <si>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</si>
  <si>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</si>
  <si>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</si>
  <si>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</si>
  <si>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</si>
  <si>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</si>
  <si>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</si>
  <si>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</si>
  <si>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</si>
  <si>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</si>
  <si>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</si>
  <si>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</si>
  <si>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</si>
  <si>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</si>
  <si>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</si>
  <si>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</si>
  <si>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</si>
  <si>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</si>
  <si>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</si>
  <si>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</si>
  <si>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</si>
  <si>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</si>
  <si>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</si>
  <si>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</si>
  <si>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</si>
  <si>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</si>
  <si>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</si>
  <si>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</si>
  <si>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</si>
  <si>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</si>
  <si>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</si>
  <si>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</si>
  <si>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</si>
  <si>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</si>
  <si>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</si>
  <si>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</si>
  <si>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</si>
  <si>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</si>
  <si>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</si>
  <si>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</si>
  <si>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</si>
  <si>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</si>
  <si>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</si>
  <si>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</si>
  <si>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</si>
  <si>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</si>
  <si>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</si>
  <si>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</si>
  <si>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</si>
  <si>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</si>
  <si>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</si>
  <si>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</si>
  <si>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</si>
  <si>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</si>
  <si>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</si>
  <si>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</si>
  <si>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</si>
  <si>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</si>
  <si>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</si>
  <si>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</si>
  <si>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</si>
  <si>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</si>
  <si>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</si>
  <si>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</si>
  <si>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</si>
  <si>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</si>
  <si>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</si>
  <si>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</si>
  <si>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</si>
  <si>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</si>
  <si>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</si>
  <si>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</si>
  <si>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</si>
  <si>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</si>
  <si>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</si>
  <si>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</si>
  <si>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</si>
  <si>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</si>
  <si>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</si>
  <si>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</si>
  <si>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</si>
  <si>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</si>
  <si>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</si>
  <si>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</si>
  <si>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</si>
  <si>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</si>
  <si>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</si>
  <si>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</si>
  <si>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</si>
  <si>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</si>
  <si>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</si>
  <si>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</si>
  <si>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</si>
  <si>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</si>
  <si>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</si>
  <si>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</si>
  <si>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</si>
  <si>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</si>
  <si>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</si>
  <si>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</si>
  <si>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</si>
  <si>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</si>
  <si>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</si>
  <si>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</si>
  <si>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</si>
  <si>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</si>
  <si>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</si>
  <si>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</si>
  <si>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</si>
  <si>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</si>
  <si>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</si>
  <si>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</si>
  <si>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</si>
  <si>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</si>
  <si>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</si>
  <si>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</si>
  <si>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</si>
  <si>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</si>
  <si>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</si>
  <si>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</si>
  <si>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</si>
  <si>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</si>
  <si>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</si>
  <si>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</si>
  <si>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</si>
  <si>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</si>
  <si>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</si>
  <si>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</si>
  <si>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</si>
  <si>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</si>
  <si>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</si>
  <si>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</si>
  <si>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</si>
  <si>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</si>
  <si>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</si>
  <si>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</si>
  <si>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</si>
  <si>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</si>
  <si>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</si>
  <si>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</si>
  <si>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</si>
  <si>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</si>
  <si>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</si>
  <si>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</si>
  <si>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</si>
  <si>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</si>
  <si>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</si>
  <si>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</si>
  <si>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</si>
  <si>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</si>
  <si>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</si>
  <si>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</si>
  <si>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</si>
  <si>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</si>
  <si>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</si>
  <si>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</si>
  <si>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</si>
  <si>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</si>
  <si>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</si>
  <si>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</si>
  <si>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</si>
  <si>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</si>
  <si>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</si>
  <si>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</si>
  <si>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</si>
  <si>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</si>
  <si>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</si>
  <si>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</si>
  <si>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</si>
  <si>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</si>
  <si>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</si>
  <si>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</si>
  <si>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</si>
  <si>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</si>
  <si>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</si>
  <si>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</si>
  <si>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</si>
  <si>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</si>
  <si>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</si>
  <si>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</si>
  <si>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</si>
  <si>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</si>
  <si>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</si>
  <si>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</si>
  <si>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</si>
  <si>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</si>
  <si>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</si>
  <si>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</si>
  <si>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</si>
  <si>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</si>
  <si>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</si>
  <si>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</si>
  <si>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</si>
  <si>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</si>
  <si>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</si>
  <si>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</si>
  <si>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</si>
  <si>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</si>
  <si>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</si>
  <si>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</si>
  <si>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</si>
  <si>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</si>
  <si>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</si>
  <si>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</si>
  <si>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</si>
  <si>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</si>
  <si>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</si>
  <si>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</si>
  <si>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</si>
  <si>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</si>
  <si>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</si>
  <si>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</si>
  <si>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</si>
  <si>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</si>
  <si>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</si>
  <si>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</si>
  <si>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</si>
  <si>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</si>
  <si>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</si>
  <si>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</si>
  <si>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</si>
  <si>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</si>
  <si>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</si>
  <si>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</si>
  <si>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</si>
  <si>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</si>
  <si>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</si>
  <si>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</si>
  <si>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</si>
  <si>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</si>
  <si>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</si>
  <si>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</si>
  <si>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</si>
  <si>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</si>
  <si>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</si>
  <si>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</si>
  <si>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</si>
  <si>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</si>
  <si>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</si>
  <si>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</si>
  <si>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</si>
  <si>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</si>
  <si>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</si>
  <si>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</si>
  <si>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</si>
  <si>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</si>
  <si>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</si>
  <si>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</si>
  <si>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</si>
  <si>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</si>
  <si>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</si>
  <si>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</si>
  <si>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</si>
  <si>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</si>
  <si>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</si>
  <si>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</si>
  <si>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</si>
  <si>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</si>
  <si>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</si>
  <si>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</si>
  <si>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</si>
  <si>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</si>
  <si>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</si>
  <si>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</si>
  <si>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</si>
  <si>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</si>
  <si>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</si>
  <si>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</si>
  <si>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</si>
  <si>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</si>
  <si>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</si>
  <si>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</si>
  <si>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</si>
  <si>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</si>
  <si>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</si>
  <si>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</si>
  <si>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</si>
  <si>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</si>
  <si>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</si>
  <si>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</si>
  <si>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</si>
  <si>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</si>
  <si>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</si>
  <si>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</si>
  <si>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</si>
  <si>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</si>
  <si>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</si>
  <si>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</si>
  <si>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</si>
  <si>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</si>
  <si>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</si>
  <si>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</si>
  <si>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</si>
  <si>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</si>
  <si>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</si>
  <si>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</si>
  <si>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</si>
  <si>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</si>
  <si>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</si>
  <si>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</si>
  <si>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</si>
  <si>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</si>
  <si>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</si>
  <si>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</si>
  <si>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</si>
  <si>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</si>
  <si>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</si>
  <si>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</si>
  <si>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</si>
  <si>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</si>
  <si>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</si>
  <si>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</si>
  <si>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</si>
  <si>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</si>
  <si>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</si>
  <si>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</si>
  <si>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</si>
  <si>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</si>
  <si>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</si>
  <si>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</si>
  <si>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</si>
  <si>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</si>
  <si>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</si>
  <si>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</si>
  <si>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</si>
  <si>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</si>
  <si>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</si>
  <si>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</si>
  <si>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</si>
  <si>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</si>
  <si>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</si>
  <si>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</si>
  <si>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</si>
  <si>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</si>
  <si>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</si>
  <si>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</si>
  <si>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</si>
  <si>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</si>
  <si>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</si>
  <si>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</si>
  <si>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</si>
  <si>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</si>
  <si>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</si>
  <si>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</si>
  <si>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</si>
  <si>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</si>
  <si>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</si>
  <si>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</si>
  <si>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</si>
  <si>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</si>
  <si>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</si>
  <si>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</si>
  <si>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</si>
  <si>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</si>
  <si>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</si>
  <si>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</si>
  <si>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</si>
  <si>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</si>
  <si>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</si>
  <si>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</si>
  <si>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</si>
  <si>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</si>
  <si>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</si>
  <si>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</si>
  <si>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</si>
  <si>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</si>
  <si>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</si>
  <si>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</si>
  <si>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</si>
  <si>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</si>
  <si>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</si>
  <si>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</si>
  <si>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</si>
  <si>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</si>
  <si>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</si>
  <si>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</si>
  <si>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</si>
  <si>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</si>
  <si>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</si>
  <si>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</si>
  <si>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</si>
  <si>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</si>
  <si>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</si>
  <si>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</si>
  <si>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</si>
  <si>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</si>
  <si>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</si>
  <si>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</si>
  <si>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</si>
  <si>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</si>
  <si>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</si>
  <si>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</si>
  <si>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</si>
  <si>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</si>
  <si>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</si>
  <si>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</si>
  <si>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</si>
  <si>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</si>
  <si>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</si>
  <si>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</si>
  <si>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</si>
  <si>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</si>
  <si>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</si>
  <si>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</si>
  <si>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</si>
  <si>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</si>
  <si>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</si>
  <si>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</si>
  <si>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</si>
  <si>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</si>
  <si>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</si>
  <si>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</si>
  <si>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</si>
  <si>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</si>
  <si>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</si>
  <si>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</si>
  <si>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</si>
  <si>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</si>
  <si>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</si>
  <si>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</si>
  <si>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</si>
  <si>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</si>
  <si>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</si>
  <si>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</si>
  <si>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</si>
  <si>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</si>
  <si>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</si>
  <si>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</si>
  <si>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</si>
  <si>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</si>
  <si>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</si>
  <si>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</si>
  <si>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</si>
  <si>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</si>
  <si>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</si>
  <si>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</si>
  <si>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</si>
  <si>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</si>
  <si>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</si>
  <si>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</si>
  <si>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</si>
  <si>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</si>
  <si>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</si>
  <si>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</si>
  <si>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</si>
  <si>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</si>
  <si>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</si>
  <si>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</si>
  <si>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</si>
  <si>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</si>
  <si>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</si>
  <si>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</si>
  <si>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</si>
  <si>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</si>
  <si>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</si>
  <si>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</si>
  <si>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</si>
  <si>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</si>
  <si>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</si>
  <si>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</si>
  <si>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</si>
  <si>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</si>
  <si>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</si>
  <si>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</si>
  <si>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</si>
  <si>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</si>
  <si>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</si>
  <si>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</si>
  <si>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</si>
  <si>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</si>
  <si>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</si>
  <si>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</si>
  <si>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</si>
  <si>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</si>
  <si>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</si>
  <si>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</si>
  <si>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</si>
  <si>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</si>
  <si>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</si>
  <si>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</si>
  <si>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</si>
  <si>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</si>
  <si>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</si>
  <si>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</si>
  <si>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</si>
  <si>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</si>
  <si>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</si>
  <si>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</si>
  <si>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</si>
  <si>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</si>
  <si>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</si>
  <si>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</si>
  <si>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</si>
  <si>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</si>
  <si>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</si>
  <si>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</si>
  <si>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</si>
  <si>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</si>
  <si>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</si>
  <si>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</si>
  <si>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</si>
  <si>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</si>
  <si>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</si>
  <si>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</si>
  <si>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</si>
  <si>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</si>
  <si>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</si>
  <si>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</si>
  <si>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</si>
  <si>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</si>
  <si>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</si>
  <si>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</si>
  <si>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</si>
  <si>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</si>
  <si>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</si>
  <si>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</si>
  <si>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</si>
  <si>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</si>
  <si>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</si>
  <si>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</si>
  <si>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</si>
  <si>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</si>
  <si>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</si>
  <si>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</si>
  <si>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</si>
  <si>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</si>
  <si>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</si>
  <si>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</si>
  <si>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</si>
  <si>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</si>
  <si>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</si>
  <si>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</si>
  <si>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</si>
  <si>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</si>
  <si>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</si>
  <si>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</si>
  <si>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</si>
  <si>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</si>
  <si>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</si>
  <si>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</si>
  <si>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</si>
  <si>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</si>
  <si>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</si>
  <si>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</si>
  <si>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</si>
  <si>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</si>
  <si>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</si>
  <si>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</si>
  <si>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</si>
  <si>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</si>
  <si>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</si>
  <si>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</si>
  <si>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</si>
  <si>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</si>
  <si>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</si>
  <si>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</si>
  <si>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</si>
  <si>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</si>
  <si>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</si>
  <si>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</si>
  <si>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</si>
  <si>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</si>
  <si>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</si>
  <si>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</si>
  <si>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</si>
  <si>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</si>
  <si>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</si>
  <si>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</si>
  <si>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</si>
  <si>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</si>
  <si>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</si>
  <si>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</si>
  <si>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</si>
  <si>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</si>
  <si>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</si>
  <si>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</si>
  <si>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</si>
  <si>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</si>
  <si>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</si>
  <si>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</si>
  <si>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</si>
  <si>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</si>
  <si>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</si>
  <si>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</si>
  <si>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</si>
  <si>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</si>
  <si>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</si>
  <si>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</si>
  <si>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</si>
  <si>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</si>
  <si>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</si>
  <si>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</si>
  <si>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</si>
  <si>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</si>
  <si>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</si>
  <si>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</si>
  <si>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</si>
  <si>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</si>
  <si>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</si>
  <si>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</si>
  <si>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</si>
  <si>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</si>
  <si>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</si>
  <si>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</si>
  <si>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</si>
  <si>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</si>
  <si>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</si>
  <si>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</si>
  <si>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</si>
  <si>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</si>
  <si>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</si>
  <si>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</si>
  <si>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</si>
  <si>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</si>
  <si>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</si>
  <si>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</si>
  <si>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</si>
  <si>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</si>
  <si>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</si>
  <si>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</si>
  <si>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</si>
  <si>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</si>
  <si>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</si>
  <si>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</si>
  <si>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deslocamento para o local de trabalho</t>
  </si>
  <si>
    <t>MANUTENÇÃO PROGRAMADA</t>
  </si>
  <si>
    <t>441,000 ao 446,000</t>
  </si>
  <si>
    <t>Verificando oportunidade de faixa</t>
  </si>
  <si>
    <t xml:space="preserve">TOM </t>
  </si>
  <si>
    <t>TOM-TGR</t>
  </si>
  <si>
    <t>TOMTGR</t>
  </si>
  <si>
    <t>Intervalo cancelado, erro de programação VIA - Foi solicitado na via 1 mas vão ocupar as duas vias</t>
  </si>
  <si>
    <t>Pronto as 07:06h - Intervalo das 07:10h as 08:50h</t>
  </si>
  <si>
    <t>Descarga de 8 barras no 74/093761-094842cv</t>
  </si>
  <si>
    <t>2 (Maicon + Elder)</t>
  </si>
  <si>
    <t>POU-PGO</t>
  </si>
  <si>
    <t>POUPGO</t>
  </si>
  <si>
    <t>Esmerilhamento de POU a PGO considerar 40 min para troca de rebolo, VMA13kmh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</si>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</sst>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BF1" activePane="topRight" state="frozen"/>
      <selection pane="topRight" activeCell="BJ131" sqref="BJ13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9" t="s">
        <v>1135</v>
      </c>
      <c r="AJ1" s="229"/>
      <c r="AK1" s="229"/>
      <c r="AL1" s="229"/>
      <c r="AM1" s="229"/>
      <c r="AN1" s="229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29"/>
      <c r="BF1" s="229"/>
      <c r="BG1" s="3"/>
      <c r="BH1" s="230" t="s">
        <v>1136</v>
      </c>
      <c r="BI1" s="230"/>
      <c r="BJ1" s="230"/>
      <c r="BK1" s="230"/>
      <c r="BL1" s="43"/>
      <c r="BM1" s="228" t="s">
        <v>1137</v>
      </c>
      <c r="BN1" s="228"/>
      <c r="BO1" s="228"/>
      <c r="BP1" s="228"/>
      <c r="BQ1" s="228"/>
      <c r="BR1" s="228"/>
      <c r="BS1" s="22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9" t="s">
        <v>1138</v>
      </c>
      <c r="AJ2" s="229"/>
      <c r="AK2" s="229"/>
      <c r="AL2" s="229"/>
      <c r="AM2" s="229"/>
      <c r="AN2" s="229"/>
      <c r="AO2" s="229"/>
      <c r="AP2" s="229"/>
      <c r="AQ2" s="229"/>
      <c r="AR2" s="159"/>
      <c r="AS2" s="231" t="s">
        <v>1141</v>
      </c>
      <c r="AT2" s="231"/>
      <c r="AU2" s="231"/>
      <c r="AV2" s="231"/>
      <c r="AW2" s="231"/>
      <c r="AX2" s="231"/>
      <c r="AY2" s="231"/>
      <c r="AZ2" s="4"/>
      <c r="BA2" s="227" t="s">
        <v>1142</v>
      </c>
      <c r="BB2" s="227"/>
      <c r="BC2" s="229" t="s">
        <v>1139</v>
      </c>
      <c r="BD2" s="229"/>
      <c r="BE2" s="229"/>
      <c r="BF2" s="229"/>
      <c r="BG2" s="3"/>
      <c r="BH2" s="230"/>
      <c r="BI2" s="230"/>
      <c r="BJ2" s="230"/>
      <c r="BK2" s="230"/>
      <c r="BL2" s="43"/>
      <c r="BM2" s="228"/>
      <c r="BN2" s="228"/>
      <c r="BO2" s="228"/>
      <c r="BP2" s="228"/>
      <c r="BQ2" s="228"/>
      <c r="BR2" s="228"/>
      <c r="BS2" s="22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7" t="s">
        <v>1143</v>
      </c>
      <c r="AJ3" s="227"/>
      <c r="AK3" s="227" t="s">
        <v>1144</v>
      </c>
      <c r="AL3" s="227"/>
      <c r="AM3" s="227"/>
      <c r="AN3" s="227"/>
      <c r="AO3" s="227"/>
      <c r="AP3" s="227"/>
      <c r="AQ3" s="227"/>
      <c r="AR3" s="160"/>
      <c r="AS3" s="232" t="s">
        <v>1150</v>
      </c>
      <c r="AT3" s="232"/>
      <c r="AU3" s="232" t="s">
        <v>1151</v>
      </c>
      <c r="AV3" s="232"/>
      <c r="AW3" s="232" t="s">
        <v>1152</v>
      </c>
      <c r="AX3" s="232"/>
      <c r="AY3" s="57" t="s">
        <v>1153</v>
      </c>
      <c r="AZ3" s="57"/>
      <c r="BA3" s="227"/>
      <c r="BB3" s="227"/>
      <c r="BC3" s="227" t="s">
        <v>1146</v>
      </c>
      <c r="BD3" s="227"/>
      <c r="BE3" s="227"/>
      <c r="BF3" s="227"/>
      <c r="BG3" s="56"/>
      <c r="BH3" s="230"/>
      <c r="BI3" s="230"/>
      <c r="BJ3" s="230"/>
      <c r="BK3" s="230"/>
      <c r="BL3" s="43"/>
      <c r="BM3" s="228" t="s">
        <v>1154</v>
      </c>
      <c r="BN3" s="228"/>
      <c r="BO3" s="228"/>
      <c r="BP3" s="228"/>
      <c r="BQ3" s="228" t="s">
        <v>160</v>
      </c>
      <c r="BR3" s="228"/>
      <c r="BS3" s="228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 hidden="1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 hidden="1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 hidden="1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 hidden="1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 hidden="1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 hidden="1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 hidden="1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 hidden="1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 hidden="1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 hidden="1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0.59722222222222221</v>
      </c>
      <c r="AT100" s="32">
        <v>0.63680555555555551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3.9583333333333304E-2</v>
      </c>
      <c r="AZ100" s="11"/>
      <c r="BA100" s="60">
        <v>358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2</v>
      </c>
      <c r="BI100" s="14"/>
      <c r="BJ100" s="14" t="s">
        <v>1432</v>
      </c>
      <c r="BK100" s="14" t="s">
        <v>1433</v>
      </c>
      <c r="BL100" s="13"/>
      <c r="BM100" s="12" t="s">
        <v>397</v>
      </c>
      <c r="BN100" s="12" t="s">
        <v>427</v>
      </c>
      <c r="BO100" s="130" t="s">
        <v>506</v>
      </c>
      <c r="BP100" s="14" t="s">
        <v>11</v>
      </c>
      <c r="BQ100" s="10" t="str">
        <f t="shared" si="9"/>
        <v>Produção e Intervalo</v>
      </c>
      <c r="BR100" s="15">
        <f t="shared" si="10"/>
        <v>0.31666666666666643</v>
      </c>
      <c r="BS100" s="15">
        <f t="shared" si="11"/>
        <v>0.21309523809523809</v>
      </c>
      <c r="BT100" s="157" t="str">
        <f t="shared" si="7"/>
        <v>CCOCirculaçãoIntervaloOportunidade</v>
      </c>
    </row>
    <row r="101" spans="1:72" ht="14.45" hidden="1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1434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26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2</v>
      </c>
      <c r="BI101" s="14"/>
      <c r="BJ101" s="14" t="s">
        <v>1435</v>
      </c>
      <c r="BK101" s="14" t="s">
        <v>1435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 hidden="1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>
        <v>0</v>
      </c>
      <c r="BI102" s="14"/>
      <c r="BJ102" s="14" t="s">
        <v>1436</v>
      </c>
      <c r="BK102" s="14" t="s">
        <v>1436</v>
      </c>
      <c r="BL102" s="13"/>
      <c r="BM102" s="12" t="s">
        <v>404</v>
      </c>
      <c r="BN102" s="12" t="s">
        <v>429</v>
      </c>
      <c r="BO102" s="130" t="s">
        <v>429</v>
      </c>
      <c r="BP102" s="14" t="s">
        <v>11</v>
      </c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>CondiçõesClimáticaChuva</v>
      </c>
    </row>
    <row r="103" spans="1:72" hidden="1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1437</v>
      </c>
      <c r="BK103" s="14" t="s">
        <v>1437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 hidden="1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>
        <v>0.49236111111111114</v>
      </c>
      <c r="AU104" s="32">
        <v>0.53541666666666665</v>
      </c>
      <c r="AV104" s="32">
        <v>0.59097222222222223</v>
      </c>
      <c r="AW104" s="32"/>
      <c r="AX104" s="32"/>
      <c r="AY104" s="184">
        <f>IF(D104="","*",IFERROR(IF(ISODD(COUNT(AS104:AX104)),"ERRO",SUM((AT104-AS104),(AV104-AU104),(AX104-AW104))),"ERRO"))</f>
        <v>0.12638888888888894</v>
      </c>
      <c r="AZ104" s="11"/>
      <c r="BA104" s="60">
        <v>1500</v>
      </c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2</v>
      </c>
      <c r="BI104" s="14"/>
      <c r="BJ104" s="14" t="s">
        <v>1438</v>
      </c>
      <c r="BK104" s="14" t="s">
        <v>1438</v>
      </c>
      <c r="BL104" s="13"/>
      <c r="BM104" s="12" t="s">
        <v>402</v>
      </c>
      <c r="BN104" s="12" t="s">
        <v>402</v>
      </c>
      <c r="BO104" s="130" t="s">
        <v>402</v>
      </c>
      <c r="BP104" s="14" t="s">
        <v>11</v>
      </c>
      <c r="BQ104" s="10" t="str">
        <f t="shared" si="9"/>
        <v>Aderente</v>
      </c>
      <c r="BR104" s="15">
        <f t="shared" si="10"/>
        <v>1.5166666666666673</v>
      </c>
      <c r="BS104" s="15">
        <f t="shared" si="11"/>
        <v>2.5</v>
      </c>
      <c r="BT104" s="157" t="str">
        <f t="shared" si="7"/>
        <v>OKOK</v>
      </c>
    </row>
    <row r="105" spans="1:72" ht="14.45" hidden="1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1439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2</v>
      </c>
      <c r="BI105" s="14"/>
      <c r="BJ105" s="14" t="s">
        <v>1440</v>
      </c>
      <c r="BK105" s="14" t="s">
        <v>1440</v>
      </c>
      <c r="BL105" s="13"/>
      <c r="BM105" s="12" t="s">
        <v>402</v>
      </c>
      <c r="BN105" s="12" t="s">
        <v>402</v>
      </c>
      <c r="BO105" s="130" t="s">
        <v>402</v>
      </c>
      <c r="BP105" s="14" t="s">
        <v>11</v>
      </c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>OKOK</v>
      </c>
    </row>
    <row r="106" spans="1:72" ht="14.45" hidden="1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1441</v>
      </c>
      <c r="X106" s="152" t="s">
        <v>378</v>
      </c>
      <c r="Y106" s="129" t="s">
        <v>381</v>
      </c>
      <c r="Z106" s="129"/>
      <c r="AA106" s="71" t="s">
        <v>1442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1443</v>
      </c>
      <c r="BK106" s="14" t="s">
        <v>1443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 hidden="1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1444</v>
      </c>
      <c r="BK107" s="14" t="s">
        <v>1444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 hidden="1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1445</v>
      </c>
      <c r="BK108" s="14" t="s">
        <v>1445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>
        <v>0.37152777777777779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>
        <v>0</v>
      </c>
      <c r="BI110" s="14"/>
      <c r="BJ110" s="14" t="s">
        <v>1446</v>
      </c>
      <c r="BK110" s="14" t="s">
        <v>1446</v>
      </c>
      <c r="BL110" s="13"/>
      <c r="BM110" s="12" t="s">
        <v>397</v>
      </c>
      <c r="BN110" s="12" t="s">
        <v>427</v>
      </c>
      <c r="BO110" s="130" t="s">
        <v>528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1447</v>
      </c>
      <c r="N111" s="149" t="s">
        <v>1448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>
        <v>0.43680555555555556</v>
      </c>
      <c r="AS111" s="32">
        <v>0.45</v>
      </c>
      <c r="AT111" s="32">
        <v>0.49166666666666664</v>
      </c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4.166666666666663E-2</v>
      </c>
      <c r="AZ111" s="11"/>
      <c r="BA111" s="60">
        <v>1</v>
      </c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>
        <v>2</v>
      </c>
      <c r="BI111" s="14"/>
      <c r="BJ111" s="14" t="s">
        <v>1449</v>
      </c>
      <c r="BK111" s="14" t="s">
        <v>1449</v>
      </c>
      <c r="BL111" s="13"/>
      <c r="BM111" s="12" t="s">
        <v>402</v>
      </c>
      <c r="BN111" s="12" t="s">
        <v>402</v>
      </c>
      <c r="BO111" s="130" t="s">
        <v>402</v>
      </c>
      <c r="BP111" s="14" t="s">
        <v>11</v>
      </c>
      <c r="BQ111" s="10" t="str">
        <f t="shared" si="9"/>
        <v>Intervalo</v>
      </c>
      <c r="BR111" s="15">
        <f t="shared" si="10"/>
        <v>0.99999999999999911</v>
      </c>
      <c r="BS111" s="15">
        <f t="shared" si="11"/>
        <v>1</v>
      </c>
      <c r="BT111" s="157" t="str">
        <f t="shared" si="7"/>
        <v>OKOK</v>
      </c>
    </row>
    <row r="112" spans="1:72" ht="14.45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6.25E-2</v>
      </c>
      <c r="Q112" s="71">
        <v>500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>
        <v>0.36944444444444446</v>
      </c>
      <c r="AS112" s="32">
        <v>0.54652777777777772</v>
      </c>
      <c r="AT112" s="32">
        <v>0.62777777777777777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8.1250000000000044E-2</v>
      </c>
      <c r="AZ112" s="11"/>
      <c r="BA112" s="60">
        <v>500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>
        <v>2</v>
      </c>
      <c r="BI112" s="14"/>
      <c r="BJ112" s="14" t="s">
        <v>1450</v>
      </c>
      <c r="BK112" s="14" t="s">
        <v>1451</v>
      </c>
      <c r="BL112" s="13"/>
      <c r="BM112" s="12" t="s">
        <v>402</v>
      </c>
      <c r="BN112" s="12" t="s">
        <v>402</v>
      </c>
      <c r="BO112" s="130" t="s">
        <v>402</v>
      </c>
      <c r="BP112" s="14" t="s">
        <v>11</v>
      </c>
      <c r="BQ112" s="10" t="str">
        <f t="shared" si="9"/>
        <v>Aderente</v>
      </c>
      <c r="BR112" s="15">
        <f t="shared" si="10"/>
        <v>1.3000000000000007</v>
      </c>
      <c r="BS112" s="15">
        <f t="shared" si="11"/>
        <v>1</v>
      </c>
      <c r="BT112" s="157" t="str">
        <f t="shared" si="7"/>
        <v>OKOK</v>
      </c>
    </row>
    <row r="113" spans="1:72" ht="14.45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>
        <v>0</v>
      </c>
      <c r="AS113" s="32">
        <v>0</v>
      </c>
      <c r="AT113" s="32">
        <v>0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>
        <v>0</v>
      </c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>
        <v>0</v>
      </c>
      <c r="BI113" s="14"/>
      <c r="BJ113" s="14" t="s">
        <v>1452</v>
      </c>
      <c r="BK113" s="14" t="s">
        <v>1452</v>
      </c>
      <c r="BL113" s="13"/>
      <c r="BM113" s="12" t="s">
        <v>400</v>
      </c>
      <c r="BN113" s="12" t="s">
        <v>428</v>
      </c>
      <c r="BO113" s="130" t="s">
        <v>491</v>
      </c>
      <c r="BP113" s="14" t="s">
        <v>11</v>
      </c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>ModernizaçãoExecução</v>
      </c>
    </row>
    <row r="114" spans="1:72" ht="14.45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135" t="s">
        <v>1107</v>
      </c>
      <c r="I114" s="135" t="s">
        <v>1107</v>
      </c>
      <c r="J114" s="151">
        <v>103</v>
      </c>
      <c r="K114" s="151">
        <v>2155.152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4" s="199" t="str">
        <f>IFERROR(_xlfn.XLOOKUP(J114, BASE_MAPA!$B$2:$B$408, BASE_MAPA!$G$2:$G$408), "ERRO")</f>
        <v>OURO VERDE - LIGAÇÃO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PIT2</v>
      </c>
      <c r="AM114" s="175" t="str">
        <f>IF(BS_CONTROLE[[#This Row],[Entre - Estações]]=0, "-", BS_CONTROLE[[#This Row],[Entre - Estações]])</f>
        <v>POU-ZPD</v>
      </c>
      <c r="AN114" s="175" t="str">
        <f>IF(BS_CONTROLE[[#This Row],[SB]]=0, "-", BS_CONTROLE[[#This Row],[SB]])</f>
        <v>175POU</v>
      </c>
      <c r="AO114" s="176">
        <f>IF(BS_CONTROLE[[#This Row],[SUB]]=0, "-", BS_CONTROLE[[#This Row],[SUB]])</f>
        <v>103</v>
      </c>
      <c r="AP114" s="177">
        <f>IF(BS_CONTROLE[[#This Row],[KM - Inicio]]=0, "-", BS_CONTROLE[[#This Row],[KM - Inicio]])</f>
        <v>2155.152</v>
      </c>
      <c r="AQ114" s="177" t="str">
        <f>IF(BS_CONTROLE[[#This Row],[KM - Fim]]=0, "-", BS_CONTROLE[[#This Row],[KM - Fim]])</f>
        <v>-</v>
      </c>
      <c r="AR114" s="32">
        <v>3.125E-2</v>
      </c>
      <c r="AS114" s="32">
        <v>3.8194444444444448E-2</v>
      </c>
      <c r="AT114" s="32">
        <v>7.9861111111111105E-2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4.1666666666666657E-2</v>
      </c>
      <c r="AZ114" s="11"/>
      <c r="BA114" s="60">
        <v>35260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4" s="200" t="str">
        <f>IFERROR(_xlfn.XLOOKUP(AO114, BASE_MAPA!$B$2:$B$408, BASE_MAPA!$G$2:$G$408), "ERRO")</f>
        <v>OURO VERDE - LIGAÇÃO</v>
      </c>
      <c r="BF114" s="178" t="str">
        <f>IF(BS_CONTROLE[[#This Row],[Responsavel pelo boletim]]=0, "-", BS_CONTROLE[[#This Row],[Responsavel pelo boletim]])</f>
        <v>FErnanda</v>
      </c>
      <c r="BG114" s="13"/>
      <c r="BH114" s="14">
        <v>2</v>
      </c>
      <c r="BI114" s="14"/>
      <c r="BJ114" s="14" t="s">
        <v>1453</v>
      </c>
      <c r="BK114" s="14" t="s">
        <v>1453</v>
      </c>
      <c r="BL114" s="13"/>
      <c r="BM114" s="12" t="s">
        <v>402</v>
      </c>
      <c r="BN114" s="12" t="s">
        <v>402</v>
      </c>
      <c r="BO114" s="130" t="s">
        <v>402</v>
      </c>
      <c r="BP114" s="14" t="s">
        <v>11</v>
      </c>
      <c r="BQ114" s="10" t="str">
        <f t="shared" si="9"/>
        <v>Aderente</v>
      </c>
      <c r="BR114" s="15">
        <f t="shared" si="10"/>
        <v>0.99999999999999978</v>
      </c>
      <c r="BS114" s="15">
        <f t="shared" si="11"/>
        <v>1.7629999999999999</v>
      </c>
      <c r="BT114" s="157" t="str">
        <f t="shared" si="7"/>
        <v>OKOK</v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 t="s">
        <v>372</v>
      </c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>
        <v>0.33958333333333335</v>
      </c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 t="s">
        <v>1454</v>
      </c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1455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1456</v>
      </c>
      <c r="X125" s="152" t="s">
        <v>378</v>
      </c>
      <c r="Y125" s="129" t="s">
        <v>381</v>
      </c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 t="s">
        <v>1457</v>
      </c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 hidden="1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1458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1459</v>
      </c>
      <c r="N126" s="149" t="s">
        <v>1460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 t="s">
        <v>381</v>
      </c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 t="s">
        <v>1391</v>
      </c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 t="s">
        <v>381</v>
      </c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>
        <v>0.34722222222222221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 t="s">
        <v>1461</v>
      </c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 t="s">
        <v>381</v>
      </c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 hidden="1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 t="s">
        <v>381</v>
      </c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>
        <v>0.29583333333333334</v>
      </c>
      <c r="AS132" s="32">
        <v>0.2986111111111111</v>
      </c>
      <c r="AT132" s="32">
        <v>0.36805555555555558</v>
      </c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6.9444444444444475E-2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>
        <v>1</v>
      </c>
      <c r="BI132" s="14"/>
      <c r="BJ132" s="14" t="s">
        <v>1462</v>
      </c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0.8333333333333337</v>
      </c>
      <c r="BS132" s="15">
        <f t="shared" si="21"/>
        <v>0</v>
      </c>
      <c r="BT132" s="157" t="str">
        <f t="shared" si="22"/>
        <v/>
      </c>
    </row>
    <row r="133" spans="1:72" ht="14.45" hidden="1">
      <c r="A133" s="44" t="str">
        <f t="shared" si="18"/>
        <v>E4646090</v>
      </c>
      <c r="B133" s="133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151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71">
        <v>2496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135" t="s">
        <v>1463</v>
      </c>
      <c r="X133" s="152" t="s">
        <v>373</v>
      </c>
      <c r="Y133" s="129" t="s">
        <v>372</v>
      </c>
      <c r="Z133" s="129"/>
      <c r="AA133" s="71" t="s">
        <v>1464</v>
      </c>
      <c r="AB133" s="59" t="s">
        <v>370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 t="s">
        <v>381</v>
      </c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>E1446090</v>
      </c>
      <c r="B136" s="133">
        <v>46090</v>
      </c>
      <c r="C136" s="7">
        <f>IF(BS_CONTROLE[[#This Row],[DATA]]="","",WEEKNUM(BS_CONTROLE[[#This Row],[DATA]]))</f>
        <v>11</v>
      </c>
      <c r="D136" s="45" t="s">
        <v>149</v>
      </c>
      <c r="E136" s="185">
        <v>153</v>
      </c>
      <c r="F136" s="134" t="s">
        <v>107</v>
      </c>
      <c r="G136" s="8" t="str">
        <f>IF(D136="","*",VLOOKUP(F136,BS_ATIVIDADE[#All],3,FALSE))</f>
        <v>MECANIZAÇÃO - ESMERILHADORA</v>
      </c>
      <c r="H136" s="135" t="s">
        <v>1107</v>
      </c>
      <c r="I136" s="135" t="s">
        <v>1119</v>
      </c>
      <c r="J136" s="151">
        <v>103</v>
      </c>
      <c r="K136" s="151">
        <v>2152</v>
      </c>
      <c r="L136" s="71" t="s">
        <v>11</v>
      </c>
      <c r="M136" s="149" t="s">
        <v>1465</v>
      </c>
      <c r="N136" s="149" t="s">
        <v>1466</v>
      </c>
      <c r="O136" s="135">
        <v>0.99930555555555556</v>
      </c>
      <c r="P136" s="135">
        <v>4.1666666666666664E-2</v>
      </c>
      <c r="Q136" s="71">
        <v>38000</v>
      </c>
      <c r="R136" s="9" t="str">
        <f>IFERROR(_xlfn.XLOOKUP(F136, BS_ATIVIDADE[ATIVIDADE],BS_ATIVIDADE[UNIDADE] ), "*")</f>
        <v>M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199" t="str">
        <f>IFERROR(_xlfn.XLOOKUP(J136, BASE_MAPA!$B$2:$B$408, BASE_MAPA!$G$2:$G$408), "ERRO")</f>
        <v>OURO VERDE - LIGAÇÃO</v>
      </c>
      <c r="V136" s="143" t="s">
        <v>1238</v>
      </c>
      <c r="W136" s="135" t="s">
        <v>1467</v>
      </c>
      <c r="X136" s="152" t="s">
        <v>378</v>
      </c>
      <c r="Y136" s="129" t="s">
        <v>381</v>
      </c>
      <c r="Z136" s="129"/>
      <c r="AA136" s="71">
        <v>1</v>
      </c>
      <c r="AB136" s="59" t="s">
        <v>370</v>
      </c>
      <c r="AC136" s="59"/>
      <c r="AD136" s="135">
        <v>0.95833333333333337</v>
      </c>
      <c r="AE136" s="71">
        <v>6245</v>
      </c>
      <c r="AF136" s="71">
        <v>6246</v>
      </c>
      <c r="AG136" s="71" t="s">
        <v>11</v>
      </c>
      <c r="AH136" s="42"/>
      <c r="AI136" s="119" t="str">
        <f>IF(BS_CONTROLE[[#This Row],[Atividade]]=0, "-", BS_CONTROLE[[#This Row],[Atividade]])</f>
        <v>MECANIZAÇÃO - ESMERILHADORA</v>
      </c>
      <c r="AJ136" s="8" t="str">
        <f>IF(D136="","*",VLOOKUP(AI136,BS_ATIVIDADE[#Data],3,FALSE))</f>
        <v>MECANIZAÇÃO - ESMERILHADORA</v>
      </c>
      <c r="AK136" s="175" t="str">
        <f>IF(BS_CONTROLE[[#This Row],[Local - Partida]]=0, "-", BS_CONTROLE[[#This Row],[Local - Partida]])</f>
        <v>PIT2</v>
      </c>
      <c r="AL136" s="175" t="str">
        <f>IF(BS_CONTROLE[[#This Row],[Local - Encerramento]]=0, "-", BS_CONTROLE[[#This Row],[Local - Encerramento]])</f>
        <v>PGO1</v>
      </c>
      <c r="AM136" s="175" t="str">
        <f>IF(BS_CONTROLE[[#This Row],[Entre - Estações]]=0, "-", BS_CONTROLE[[#This Row],[Entre - Estações]])</f>
        <v>POU-PGO</v>
      </c>
      <c r="AN136" s="175" t="str">
        <f>IF(BS_CONTROLE[[#This Row],[SB]]=0, "-", BS_CONTROLE[[#This Row],[SB]])</f>
        <v>POUPGO</v>
      </c>
      <c r="AO136" s="176">
        <f>IF(BS_CONTROLE[[#This Row],[SUB]]=0, "-", BS_CONTROLE[[#This Row],[SUB]])</f>
        <v>103</v>
      </c>
      <c r="AP136" s="177">
        <f>IF(BS_CONTROLE[[#This Row],[KM - Inicio]]=0, "-", BS_CONTROLE[[#This Row],[KM - Inicio]])</f>
        <v>2152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M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200" t="str">
        <f>IFERROR(_xlfn.XLOOKUP(AO136, BASE_MAPA!$B$2:$B$408, BASE_MAPA!$G$2:$G$408), "ERRO")</f>
        <v>OURO VERDE - LIGAÇÃO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Produção e Intervalo</v>
      </c>
      <c r="BR136" s="15">
        <f t="shared" si="20"/>
        <v>0</v>
      </c>
      <c r="BS136" s="15">
        <f t="shared" si="21"/>
        <v>0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1468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26" operator="equal">
      <formula>"ERRO"</formula>
    </cfRule>
  </conditionalFormatting>
  <conditionalFormatting sqref="X4 Y1:Z778">
    <cfRule type="cellIs" dxfId="120" priority="18515" operator="equal">
      <formula>"OPORTUNIDADE"</formula>
    </cfRule>
  </conditionalFormatting>
  <conditionalFormatting sqref="AZ6:AZ778">
    <cfRule type="expression" dxfId="119" priority="18510">
      <formula>$BU6=1</formula>
    </cfRule>
  </conditionalFormatting>
  <conditionalFormatting sqref="BQ6:BQ778">
    <cfRule type="cellIs" dxfId="118" priority="18521" operator="equal">
      <formula>"Produção e Intervalo"</formula>
    </cfRule>
    <cfRule type="cellIs" dxfId="117" priority="18522" operator="equal">
      <formula>"Aderente"</formula>
    </cfRule>
    <cfRule type="cellIs" dxfId="116" priority="18523" operator="equal">
      <formula>"Intervalo"</formula>
    </cfRule>
    <cfRule type="cellIs" dxfId="115" priority="18524" operator="equal">
      <formula>"Produção"</formula>
    </cfRule>
    <cfRule type="cellIs" dxfId="114" priority="18525" operator="equal">
      <formula>"ERRO"</formula>
    </cfRule>
  </conditionalFormatting>
  <conditionalFormatting sqref="BR6:BS778">
    <cfRule type="cellIs" dxfId="113" priority="18503" operator="equal">
      <formula>"*"</formula>
    </cfRule>
    <cfRule type="cellIs" dxfId="112" priority="18504" operator="greaterThanOrEqual">
      <formula>1</formula>
    </cfRule>
    <cfRule type="cellIs" dxfId="111" priority="18505" operator="lessThan">
      <formula>1</formula>
    </cfRule>
  </conditionalFormatting>
  <conditionalFormatting sqref="Y6:Z778">
    <cfRule type="cellIs" dxfId="110" priority="18451" operator="equal">
      <formula>"NÃO"</formula>
    </cfRule>
    <cfRule type="cellIs" dxfId="109" priority="18452" operator="equal">
      <formula>"SIM"</formula>
    </cfRule>
  </conditionalFormatting>
  <conditionalFormatting sqref="Y1047841:Y1048576">
    <cfRule type="cellIs" dxfId="108" priority="18332" operator="equal">
      <formula>"OPORTUNIDADE"</formula>
    </cfRule>
  </conditionalFormatting>
  <conditionalFormatting sqref="Y1047841:Y1048576">
    <cfRule type="cellIs" dxfId="107" priority="18330" operator="equal">
      <formula>"NÃO"</formula>
    </cfRule>
    <cfRule type="cellIs" dxfId="106" priority="18331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:BK99 BK6 BK11:BK13 BK19:BK22 BK26 BK15:BK16 BK43 BK36:BK37 BK33:BK34 BK29:BK31 BK45 BK47 BK50:BK51 BK53:BK55 BK57:BK61 BK77:BK82 BK75 BK63:BK64 BK66:BK73 BK109 BK115:BK778">
    <cfRule type="iconSet" priority="23064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84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79:BO86 BO96:BO778">
    <cfRule type="iconSet" priority="23094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105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108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110">
      <iconSet showValue="0">
        <cfvo type="percent" val="0"/>
        <cfvo type="num" val="1"/>
        <cfvo type="num" val="1" gte="0"/>
      </iconSet>
    </cfRule>
    <cfRule type="iconSet" priority="2311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N95:BO95 BN87:BO91 BM6:BM778" xr:uid="{0374E4CD-E1C2-4373-A381-0828C9AFF6FF}">
      <formula1>IMPCAUSADOR</formula1>
    </dataValidation>
    <dataValidation type="list" allowBlank="1" showInputMessage="1" showErrorMessage="1" sqref="BN6:BN14 BN16:BN54 BN56:BN73 BN75:BN77 BN79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10" sqref="F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3" t="s">
        <v>1469</v>
      </c>
      <c r="D1" s="233"/>
      <c r="E1" s="233"/>
      <c r="F1" s="233"/>
      <c r="G1" s="233"/>
      <c r="H1" s="233"/>
    </row>
    <row r="2" spans="3:8">
      <c r="C2" s="233"/>
      <c r="D2" s="233"/>
      <c r="E2" s="233"/>
      <c r="F2" s="233"/>
      <c r="G2" s="233"/>
      <c r="H2" s="233"/>
    </row>
    <row r="3" spans="3:8">
      <c r="C3" s="186" t="s">
        <v>104</v>
      </c>
      <c r="D3" s="186" t="s">
        <v>1470</v>
      </c>
      <c r="E3" s="186" t="s">
        <v>1471</v>
      </c>
      <c r="F3" s="186" t="s">
        <v>1472</v>
      </c>
      <c r="G3" s="186" t="s">
        <v>1473</v>
      </c>
      <c r="H3" s="186" t="s">
        <v>1474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1475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1476</v>
      </c>
      <c r="D13" s="187">
        <v>9049</v>
      </c>
      <c r="E13" s="188">
        <v>46044</v>
      </c>
      <c r="F13" s="190" t="s">
        <v>1477</v>
      </c>
      <c r="G13" s="187" t="s">
        <v>1478</v>
      </c>
      <c r="H13" s="187"/>
    </row>
    <row r="14" spans="3:8">
      <c r="C14" s="187" t="s">
        <v>1476</v>
      </c>
      <c r="D14" s="187">
        <v>9044</v>
      </c>
      <c r="E14" s="188">
        <v>46044</v>
      </c>
      <c r="F14" s="190" t="s">
        <v>1479</v>
      </c>
      <c r="G14" s="187" t="s">
        <v>1480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1481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1481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4" t="s">
        <v>1482</v>
      </c>
      <c r="C2" s="234"/>
      <c r="D2" s="234"/>
      <c r="E2" s="234"/>
      <c r="F2" s="234"/>
      <c r="G2" s="234"/>
    </row>
    <row r="3" spans="2:7">
      <c r="B3" s="235"/>
      <c r="C3" s="235"/>
      <c r="D3" s="235"/>
      <c r="E3" s="235"/>
      <c r="F3" s="235"/>
      <c r="G3" s="235"/>
    </row>
    <row r="4" spans="2:7" ht="40.5">
      <c r="B4" s="191" t="s">
        <v>1483</v>
      </c>
      <c r="C4" s="191" t="s">
        <v>1484</v>
      </c>
      <c r="D4" s="191" t="s">
        <v>1485</v>
      </c>
      <c r="E4" s="191" t="s">
        <v>1486</v>
      </c>
      <c r="F4" s="191" t="s">
        <v>547</v>
      </c>
      <c r="G4" s="191" t="s">
        <v>1487</v>
      </c>
    </row>
    <row r="5" spans="2:7">
      <c r="B5" s="192" t="s">
        <v>1488</v>
      </c>
      <c r="C5" s="192">
        <v>309525</v>
      </c>
      <c r="D5" s="192" t="s">
        <v>1489</v>
      </c>
      <c r="E5" s="192" t="s">
        <v>249</v>
      </c>
      <c r="F5" s="192" t="s">
        <v>1490</v>
      </c>
      <c r="G5" s="193">
        <v>46296</v>
      </c>
    </row>
    <row r="6" spans="2:7">
      <c r="B6" s="192" t="s">
        <v>1491</v>
      </c>
      <c r="C6" s="192">
        <v>257410</v>
      </c>
      <c r="D6" s="192" t="s">
        <v>1492</v>
      </c>
      <c r="E6" s="192" t="s">
        <v>249</v>
      </c>
      <c r="F6" s="192" t="s">
        <v>1490</v>
      </c>
      <c r="G6" s="193"/>
    </row>
    <row r="7" spans="2:7">
      <c r="B7" s="192" t="s">
        <v>1259</v>
      </c>
      <c r="C7" s="192">
        <v>256875</v>
      </c>
      <c r="D7" s="192" t="s">
        <v>1493</v>
      </c>
      <c r="E7" s="192" t="s">
        <v>249</v>
      </c>
      <c r="F7" s="192" t="s">
        <v>1490</v>
      </c>
      <c r="G7" s="193">
        <v>46296</v>
      </c>
    </row>
    <row r="8" spans="2:7">
      <c r="B8" s="192" t="s">
        <v>1494</v>
      </c>
      <c r="C8" s="192">
        <v>257278</v>
      </c>
      <c r="D8" s="192" t="s">
        <v>1495</v>
      </c>
      <c r="E8" s="192" t="s">
        <v>240</v>
      </c>
      <c r="F8" s="192" t="s">
        <v>1496</v>
      </c>
      <c r="G8" s="193">
        <v>46235</v>
      </c>
    </row>
    <row r="9" spans="2:7">
      <c r="B9" s="192" t="s">
        <v>1497</v>
      </c>
      <c r="C9" s="192">
        <v>257033</v>
      </c>
      <c r="D9" s="192" t="s">
        <v>1498</v>
      </c>
      <c r="E9" s="192" t="s">
        <v>240</v>
      </c>
      <c r="F9" s="192" t="s">
        <v>564</v>
      </c>
      <c r="G9" s="192" t="s">
        <v>1499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K1" workbookViewId="0">
      <selection activeCell="A2" sqref="A2:T15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6"/>
      <c r="B1" s="237"/>
      <c r="C1" s="23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9" t="s">
        <v>1223</v>
      </c>
      <c r="Q1" s="240"/>
      <c r="R1" s="88"/>
      <c r="S1" s="88"/>
      <c r="T1" s="89"/>
      <c r="U1" s="241" t="s">
        <v>1500</v>
      </c>
      <c r="V1" s="241"/>
      <c r="W1" s="24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1501</v>
      </c>
      <c r="B2" s="91" t="s">
        <v>1502</v>
      </c>
      <c r="C2" s="91" t="s">
        <v>7</v>
      </c>
      <c r="D2" s="92" t="s">
        <v>1175</v>
      </c>
      <c r="E2" s="92" t="s">
        <v>547</v>
      </c>
      <c r="F2" s="92" t="s">
        <v>1503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1504</v>
      </c>
      <c r="T2" s="94" t="s">
        <v>1178</v>
      </c>
      <c r="U2" s="90">
        <f ca="1">TODAY()-1</f>
        <v>46089</v>
      </c>
      <c r="V2" s="90">
        <f ca="1">U2-1</f>
        <v>46088</v>
      </c>
      <c r="W2" s="90">
        <f ca="1">V2-1</f>
        <v>46087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358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35260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358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35260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>
        <f ca="1">_xlfn.XLOOKUP(G24&amp;$W$2,BS_CONTROLE[CHAVE],BS_CONTROLE[Quantidade_11],"-")</f>
        <v>936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358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80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1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1500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35260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358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 t="str">
        <f ca="1">_xlfn.XLOOKUP(G52&amp;$U$2,BS_CONTROLE[CHAVE],BS_CONTROLE[Quantidade_11],"-")</f>
        <v>-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35260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358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1500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35260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>
        <f ca="1">_xlfn.XLOOKUP(G83&amp;$W$2,BS_CONTROLE[CHAVE],BS_CONTROLE[Quantidade_11],"-")</f>
        <v>80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358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1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1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 t="str">
        <f ca="1">_xlfn.XLOOKUP(G92&amp;$U$2,BS_CONTROLE[CHAVE],BS_CONTROLE[Quantidade_11],"-")</f>
        <v>-</v>
      </c>
      <c r="V92" s="98">
        <f ca="1">_xlfn.XLOOKUP(G92&amp;$V$2,BS_CONTROLE[CHAVE],BS_CONTROLE[Quantidade_11],"-")</f>
        <v>0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1500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1500</v>
      </c>
      <c r="W96" s="98">
        <f ca="1">_xlfn.XLOOKUP(G96&amp;$W$2,BS_CONTROLE[CHAVE],BS_CONTROLE[Quantidade_11],"-")</f>
        <v>1300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>
        <f ca="1">_xlfn.XLOOKUP(G97&amp;$W$2,BS_CONTROLE[CHAVE],BS_CONTROLE[Quantidade_11],"-")</f>
        <v>936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35260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 xml:space="preserve">Socaria mecanizada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358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 xml:space="preserve">Inspeção -  caminhão na linha </v>
      </c>
      <c r="U108" s="98" t="str">
        <f ca="1">_xlfn.XLOOKUP(G108&amp;$U$2,BS_CONTROLE[CHAVE],BS_CONTROLE[Quantidade_11],"-")</f>
        <v>-</v>
      </c>
      <c r="V108" s="98">
        <f ca="1">_xlfn.XLOOKUP(G108&amp;$V$2,BS_CONTROLE[CHAVE],BS_CONTROLE[Quantidade_11],"-")</f>
        <v>1</v>
      </c>
      <c r="W108" s="98">
        <f ca="1">_xlfn.XLOOKUP(G108&amp;$W$2,BS_CONTROLE[CHAVE],BS_CONTROLE[Quantidade_11],"-")</f>
        <v>80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1500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1500</v>
      </c>
      <c r="W116" s="98">
        <f ca="1">_xlfn.XLOOKUP(G116&amp;$W$2,BS_CONTROLE[CHAVE],BS_CONTROLE[Quantidade_11],"-")</f>
        <v>1300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 xml:space="preserve">Descarga de trilho 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>
        <f ca="1">_xlfn.XLOOKUP(G118&amp;$W$2,BS_CONTROLE[CHAVE],BS_CONTROLE[Quantidade_11],"-")</f>
        <v>936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 t="str">
        <f ca="1">_xlfn.XLOOKUP(G121&amp;$U$2,BS_CONTROLE[CHAVE],BS_CONTROLE[Quantidade_11],"-")</f>
        <v>-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35260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358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6.25E-2</v>
      </c>
      <c r="R127" s="96" t="str">
        <f>IF(FN_MC!Q112="","*",CONCATENATE(FN_MC!Q112," ",FN_MC!R112))</f>
        <v>500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1500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1500</v>
      </c>
      <c r="W128" s="98">
        <f ca="1">_xlfn.XLOOKUP(G128&amp;$W$2,BS_CONTROLE[CHAVE],BS_CONTROLE[Quantidade_11],"-")</f>
        <v>1300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MALHA CENTRAL</v>
      </c>
      <c r="E129" s="96" t="str">
        <f>IF(FN_MC!T114="","*",FN_MC!T114)</f>
        <v>PRV-POV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PIT2</v>
      </c>
      <c r="K129" s="96" t="str">
        <f>IF(FN_MC!M114="","*",FN_MC!M114)</f>
        <v>POU-ZPD</v>
      </c>
      <c r="L129" s="196" t="str">
        <f>IF(FN_MC!N114="","*",FN_MC!N114)</f>
        <v>175POU</v>
      </c>
      <c r="M129" s="97">
        <f>IF(FN_MC!J114="","*",FN_MC!J114)</f>
        <v>103</v>
      </c>
      <c r="N129" s="183">
        <f>IF(FN_MC!K114="","*",FN_MC!K114)</f>
        <v>2155.152</v>
      </c>
      <c r="O129" s="183" t="str">
        <f>IF(FN_MC!L114="","*",FN_MC!L114)</f>
        <v>-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35260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IF(FN_MC!Y118="","*",FN_MC!Y118)</f>
        <v>SIM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358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1500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IF(FN_MC!Y125="","*",FN_MC!Y125)</f>
        <v>OPORTUNIDADE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IF(FN_MC!Y126="","*",FN_MC!Y126)</f>
        <v>OPORTUNIDADE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1</v>
      </c>
      <c r="W141" s="98">
        <f ca="1">_xlfn.XLOOKUP(G141&amp;$W$2,BS_CONTROLE[CHAVE],BS_CONTROLE[Quantidade_11],"-")</f>
        <v>1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IF(FN_MC!Y127="","*",FN_MC!Y127)</f>
        <v>OPORTUNIDADE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1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IF(FN_MC!Y131="","*",FN_MC!Y131)</f>
        <v>OPORTUNIDADE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0</v>
      </c>
      <c r="V154" s="98">
        <f ca="1">_xlfn.XLOOKUP(G154&amp;$V$2,BS_CONTROLE[CHAVE],BS_CONTROLE[Quantidade_11],"-")</f>
        <v>1500</v>
      </c>
      <c r="W154" s="98">
        <f ca="1">_xlfn.XLOOKUP(G154&amp;$W$2,BS_CONTROLE[CHAVE],BS_CONTROLE[Quantidade_11],"-")</f>
        <v>1300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IF(FN_MC!Y132="","*",FN_MC!Y132)</f>
        <v>OPORTUNIDADE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 t="str">
        <f ca="1">_xlfn.XLOOKUP(G155&amp;$U$2,BS_CONTROLE[CHAVE],BS_CONTROLE[Quantidade_11],"-")</f>
        <v>-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IF(FN_MC!Y133="","*",FN_MC!Y133)</f>
        <v>SIM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2496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 t="str">
        <f ca="1">_xlfn.XLOOKUP(G156&amp;$U$2,BS_CONTROLE[CHAVE],BS_CONTROLE[Quantidade_11],"-")</f>
        <v>-</v>
      </c>
      <c r="V156" s="98">
        <f ca="1">_xlfn.XLOOKUP(G156&amp;$V$2,BS_CONTROLE[CHAVE],BS_CONTROLE[Quantidade_11],"-")</f>
        <v>0</v>
      </c>
      <c r="W156" s="98">
        <f ca="1">_xlfn.XLOOKUP(G156&amp;$W$2,BS_CONTROLE[CHAVE],BS_CONTROLE[Quantidade_11],"-")</f>
        <v>936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IF(FN_MC!Y135="","*",FN_MC!Y135)</f>
        <v>OPORTUNIDADE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IF(FN_MC!Y136="","*",FN_MC!Y136)</f>
        <v>OPORTUNIDADE</v>
      </c>
      <c r="B159" s="95" t="str">
        <f>IF(FN_MC!X136="","*",FN_MC!X136)</f>
        <v>Oportunidade</v>
      </c>
      <c r="C159" s="95" t="str">
        <f>IF(FN_MC!Z136="","*",FN_MC!Z136)</f>
        <v>*</v>
      </c>
      <c r="D159" s="96" t="str">
        <f>IF(FN_MC!S136="","*",FN_MC!S136)</f>
        <v>MALHA CENTRAL</v>
      </c>
      <c r="E159" s="96" t="str">
        <f>IF(FN_MC!T136="","*",FN_MC!T136)</f>
        <v>PRV-POV</v>
      </c>
      <c r="F159" s="96">
        <f>IF(FN_MC!B136="","*",FN_MC!B136)</f>
        <v>46090</v>
      </c>
      <c r="G159" s="96" t="str">
        <f>IF(FN_MC!D136="","*",FN_MC!D136)</f>
        <v>E14</v>
      </c>
      <c r="H159" s="96" t="str">
        <f>IF(FN_MC!F136="","*",FN_MC!F136)</f>
        <v>MECANIZAÇÃO - ESMERILHADORA</v>
      </c>
      <c r="I159" s="96" t="str">
        <f>IF(FN_MC!H136="","*",FN_MC!H136)</f>
        <v>PIT2</v>
      </c>
      <c r="J159" s="96" t="str">
        <f>IF(FN_MC!I136="","*",FN_MC!I136)</f>
        <v>PGO1</v>
      </c>
      <c r="K159" s="96" t="str">
        <f>IF(FN_MC!M136="","*",FN_MC!M136)</f>
        <v>POU-PGO</v>
      </c>
      <c r="L159" s="196" t="str">
        <f>IF(FN_MC!N136="","*",FN_MC!N136)</f>
        <v>POUPGO</v>
      </c>
      <c r="M159" s="97">
        <f>IF(FN_MC!J136="","*",FN_MC!J136)</f>
        <v>103</v>
      </c>
      <c r="N159" s="183">
        <f>IF(FN_MC!K136="","*",FN_MC!K136)</f>
        <v>2152</v>
      </c>
      <c r="O159" s="183" t="str">
        <f>IF(FN_MC!L136="","*",FN_MC!L136)</f>
        <v>-</v>
      </c>
      <c r="P159" s="107">
        <f>IF(FN_MC!O136="","*",FN_MC!O136)</f>
        <v>0.99930555555555556</v>
      </c>
      <c r="Q159" s="107">
        <f>IF(FN_MC!P136="","*",FN_MC!P136)</f>
        <v>4.1666666666666664E-2</v>
      </c>
      <c r="R159" s="96" t="str">
        <f>IF(FN_MC!Q136="","*",CONCATENATE(FN_MC!Q136," ",FN_MC!R136))</f>
        <v>38000 M</v>
      </c>
      <c r="S159" s="96" t="str">
        <f>IF(FN_MC!V136="","*",FN_MC!V136)</f>
        <v>Fernanda</v>
      </c>
      <c r="T159" s="96" t="str">
        <f>IF(FN_MC!W136="","*",FN_MC!W136)</f>
        <v>Esmerilhamento de POU a PGO considerar 40 min para troca de rebolo, VMA13kmh</v>
      </c>
      <c r="U159" s="98">
        <f ca="1">_xlfn.XLOOKUP(G159&amp;$U$2,BS_CONTROLE[CHAVE],BS_CONTROLE[Quantidade_11],"-")</f>
        <v>35260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2" t="s">
        <v>1505</v>
      </c>
      <c r="D5" s="243"/>
      <c r="E5" s="243"/>
      <c r="F5" s="243"/>
      <c r="G5" s="243"/>
      <c r="H5" s="243"/>
      <c r="I5" s="243"/>
      <c r="J5" s="244"/>
      <c r="K5" s="245" t="s">
        <v>1506</v>
      </c>
      <c r="L5" s="246"/>
      <c r="M5" s="246"/>
      <c r="N5" s="246"/>
      <c r="O5" s="247" t="s">
        <v>1507</v>
      </c>
      <c r="P5" s="248"/>
      <c r="Q5" s="249"/>
    </row>
    <row r="6" spans="1:17" s="81" customFormat="1" ht="15.75" customHeight="1">
      <c r="A6" s="75" t="s">
        <v>1503</v>
      </c>
      <c r="B6" s="82" t="s">
        <v>1502</v>
      </c>
      <c r="C6" s="83" t="s">
        <v>1175</v>
      </c>
      <c r="D6" s="84" t="s">
        <v>1176</v>
      </c>
      <c r="E6" s="83" t="s">
        <v>1508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1509</v>
      </c>
      <c r="M6" s="116" t="s">
        <v>29</v>
      </c>
      <c r="N6" s="117" t="s">
        <v>1170</v>
      </c>
      <c r="O6" s="165" t="s">
        <v>1213</v>
      </c>
      <c r="P6" s="128"/>
      <c r="Q6" s="139" t="s">
        <v>1510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2</v>
      </c>
      <c r="P106" s="78"/>
      <c r="Q106" s="120" t="str">
        <f>IF($A$2=1,IF(FN_MC!BJ100="","*",FN_MC!BJ100),IF(FN_MC!BK100="","*",FN_MC!BK100))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2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2</v>
      </c>
      <c r="P116" s="78"/>
      <c r="Q116" s="120" t="str">
        <f>IF($A$2=1,IF(FN_MC!BJ104="","*",FN_MC!BJ104),IF(FN_MC!BK104="","*",FN_MC!BK104))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2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 xml:space="preserve">MC1 08:55, sem oportunidade 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2</v>
      </c>
      <c r="P126" s="78"/>
      <c r="Q126" s="120" t="str">
        <f>IF($A$2=1,IF(FN_MC!BJ111="","*",FN_MC!BJ111),IF(FN_MC!BK111="","*",FN_MC!BK111))</f>
        <v>MC1 10:29, autorizado 10:48, em inspeção a TOM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6.25E-2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2</v>
      </c>
      <c r="P127" s="78"/>
      <c r="Q127" s="120" t="str">
        <f>IF($A$2=1,IF(FN_MC!BJ112="","*",FN_MC!BJ112),IF(FN_MC!BK112="","*",FN_MC!BK112))</f>
        <v xml:space="preserve">MC1 08:52, previsão de faixa 14h após C71, autorizado 12:36 em deslocamento para intervalo 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 xml:space="preserve">Equipe de folga 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MALHA CENTRAL</v>
      </c>
      <c r="D129" s="87" t="str">
        <f>IF(FN_MC!T114="","*",FN_MC!T114)</f>
        <v>PRV-POV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POU-ZPD</v>
      </c>
      <c r="H129" s="125">
        <f>IF(FN_MC!K114="","*",FN_MC!K114)</f>
        <v>2155.152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POU-ZPD</v>
      </c>
      <c r="M129" s="118">
        <f>IF(FN_MC!AP114="","*",FN_MC!AP114)</f>
        <v>2155.152</v>
      </c>
      <c r="N129" s="118" t="str">
        <f>IF(FN_MC!AM114="","*",FN_MC!AM114)</f>
        <v>POU-ZPD</v>
      </c>
      <c r="O129" s="136">
        <f>FN_MC!BH114</f>
        <v>2</v>
      </c>
      <c r="P129" s="78"/>
      <c r="Q129" s="120" t="str">
        <f>IF($A$2=1,IF(FN_MC!BJ114="","*",FN_MC!BJ114),IF(FN_MC!BK114="","*",FN_MC!BK114))</f>
        <v xml:space="preserve">MC1 1h 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1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>
        <f>IF(FN_MC!B136="","*",FN_MC!B136)</f>
        <v>46090</v>
      </c>
      <c r="B159" s="86" t="str">
        <f>IF(FN_MC!X136="","*",FN_MC!X136)</f>
        <v>Oportunidade</v>
      </c>
      <c r="C159" s="87" t="str">
        <f>IF(FN_MC!S136="","*",FN_MC!S136)</f>
        <v>MALHA CENTRAL</v>
      </c>
      <c r="D159" s="87" t="str">
        <f>IF(FN_MC!T136="","*",FN_MC!T136)</f>
        <v>PRV-POV</v>
      </c>
      <c r="E159" s="87" t="str">
        <f>IF(FN_MC!D136="","*",FN_MC!D136)</f>
        <v>E14</v>
      </c>
      <c r="F159" s="87" t="str">
        <f>IF(FN_MC!H136="","*",FN_MC!H136)</f>
        <v>PIT2</v>
      </c>
      <c r="G159" s="87" t="str">
        <f>IF(FN_MC!M136="","*",FN_MC!M136)</f>
        <v>POU-PGO</v>
      </c>
      <c r="H159" s="125">
        <f>IF(FN_MC!K136="","*",FN_MC!K136)</f>
        <v>2152</v>
      </c>
      <c r="I159" s="110">
        <f>IF(FN_MC!O136="","*",FN_MC!O136)</f>
        <v>0.99930555555555556</v>
      </c>
      <c r="J159" s="110">
        <f>IF(FN_MC!P136="","*",FN_MC!P136)</f>
        <v>4.1666666666666664E-2</v>
      </c>
      <c r="K159" s="118" t="str">
        <f>IF(FN_MC!AK136="","*",FN_MC!AK136)</f>
        <v>PIT2</v>
      </c>
      <c r="L159" s="118" t="str">
        <f>IF(FN_MC!AM136="","*",FN_MC!AM136)</f>
        <v>POU-PGO</v>
      </c>
      <c r="M159" s="118">
        <f>IF(FN_MC!AP136="","*",FN_MC!AP136)</f>
        <v>2152</v>
      </c>
      <c r="N159" s="118" t="str">
        <f>IF(FN_MC!AM136="","*",FN_MC!AM136)</f>
        <v>POU-PGO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A960" sqref="A960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1511</v>
      </c>
      <c r="C2" s="83" t="s">
        <v>1160</v>
      </c>
      <c r="D2" s="83" t="s">
        <v>1162</v>
      </c>
      <c r="E2" s="83" t="s">
        <v>1512</v>
      </c>
      <c r="F2" s="83" t="s">
        <v>1513</v>
      </c>
      <c r="G2" s="83" t="s">
        <v>1514</v>
      </c>
      <c r="H2" s="83" t="s">
        <v>1515</v>
      </c>
      <c r="I2" s="83" t="s">
        <v>1516</v>
      </c>
      <c r="J2" s="83" t="s">
        <v>1517</v>
      </c>
      <c r="K2" s="109" t="s">
        <v>1518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 hidden="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POU-ZPD</v>
      </c>
      <c r="G125" s="101" t="str">
        <f>IF(FN_MC!I114="","*",FN_MC!I114)</f>
        <v>PIT2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SIM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OPORTUNIDADE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OPORTUNIDADE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OPORTUNIDADE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OPORTUNIDADE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OPORTUNIDADE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>
      <c r="B152" s="100" t="str">
        <f>IF(FN_MC!Y133="","*",FN_MC!Y133)</f>
        <v>SIM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</v>
      </c>
      <c r="I152" s="101" t="str">
        <f>IF(FN_MC!AC133="","*",FN_MC!AC133)</f>
        <v>*</v>
      </c>
      <c r="J152" s="102" t="str">
        <f>IF(FN_MC!AA133="","*",FN_MC!AA133)</f>
        <v>2 (Maicon + Elder)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OPORTUNIDADE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OPORTUNIDADE</v>
      </c>
      <c r="C155" s="101">
        <f>IF(FN_MC!B136="","*",FN_MC!B136)</f>
        <v>46090</v>
      </c>
      <c r="D155" s="101" t="str">
        <f>IF(FN_MC!D136="","*",FN_MC!D136)</f>
        <v>E14</v>
      </c>
      <c r="E155" s="101" t="str">
        <f>IF(FN_MC!H136="","*",FN_MC!H136)</f>
        <v>PIT2</v>
      </c>
      <c r="F155" s="114" t="str">
        <f>IF(FN_MC!M136="","*",FN_MC!M136)</f>
        <v>POU-PGO</v>
      </c>
      <c r="G155" s="101" t="str">
        <f>IF(FN_MC!I136="","*",FN_MC!I136)</f>
        <v>PGO1</v>
      </c>
      <c r="H155" s="101" t="str">
        <f>IF(FN_MC!AB136="","*",FN_MC!AB136)</f>
        <v>FIXO</v>
      </c>
      <c r="I155" s="101" t="str">
        <f>IF(FN_MC!AC136="","*",FN_MC!AC136)</f>
        <v>*</v>
      </c>
      <c r="J155" s="102">
        <f>IF(FN_MC!AA136="","*",FN_MC!AA136)</f>
        <v>1</v>
      </c>
      <c r="K155" s="112">
        <f>IF(FN_MC!AD136="","*",FN_MC!AD136)</f>
        <v>0.95833333333333337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9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2026-03-09T11:46:18Z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