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278" documentId="8_{B6337239-1A00-434D-AAD0-422EA1FEB5AE}" xr6:coauthVersionLast="47" xr6:coauthVersionMax="47" xr10:uidLastSave="{B0AF4316-E9D6-4F07-AF86-9EC69D51B716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1" l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4" i="1" l="1"/>
  <c r="AJ185" i="1"/>
  <c r="AJ183" i="1"/>
  <c r="AJ182" i="1"/>
  <c r="AJ181" i="1"/>
  <c r="AJ180" i="1"/>
  <c r="AJ167" i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<sst xmlns="http://schemas.openxmlformats.org/spreadsheetml/2006/main" count="6072" uniqueCount="1614">
  <si>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</si>
  <si>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</si>
  <si>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</si>
  <si>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</si>
  <si>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</si>
  <si>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</si>
  <si>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</si>
  <si>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</si>
  <si>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</si>
  <si>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</si>
  <si>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</si>
  <si>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</si>
  <si>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</si>
  <si>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</si>
  <si>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</si>
  <si>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</si>
  <si>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</si>
  <si>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</si>
  <si>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</si>
  <si>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</si>
  <si>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</si>
  <si>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</si>
  <si>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</si>
  <si>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</si>
  <si>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</si>
  <si>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</si>
  <si>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</si>
  <si>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</si>
  <si>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</si>
  <si>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</si>
  <si>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</si>
  <si>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</si>
  <si>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</si>
  <si>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</si>
  <si>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</si>
  <si>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</si>
  <si>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</si>
  <si>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</si>
  <si>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</si>
  <si>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</si>
  <si>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</si>
  <si>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</si>
  <si>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</si>
  <si>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</si>
  <si>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</si>
  <si>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</si>
  <si>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</si>
  <si>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</si>
  <si>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</si>
  <si>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</si>
  <si>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</si>
  <si>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</si>
  <si>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</si>
  <si>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</si>
  <si>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</si>
  <si>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</si>
  <si>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</si>
  <si>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</si>
  <si>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</si>
  <si>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</si>
  <si>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</si>
  <si>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</si>
  <si>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</si>
  <si>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</si>
  <si>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</si>
  <si>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</si>
  <si>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</si>
  <si>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</si>
  <si>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</si>
  <si>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</si>
  <si>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</si>
  <si>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</si>
  <si>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</si>
  <si>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</si>
  <si>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</si>
  <si>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</si>
  <si>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</si>
  <si>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</si>
  <si>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</si>
  <si>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</si>
  <si>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</si>
  <si>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</si>
  <si>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</si>
  <si>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</si>
  <si>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</si>
  <si>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</si>
  <si>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</si>
  <si>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</si>
  <si>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</si>
  <si>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</si>
  <si>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</si>
  <si>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</si>
  <si>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</si>
  <si>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</si>
  <si>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</si>
  <si>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</si>
  <si>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</si>
  <si>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</si>
  <si>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</si>
  <si>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</si>
  <si>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</si>
  <si>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</si>
  <si>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</si>
  <si>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</si>
  <si>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</si>
  <si>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</si>
  <si>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</si>
  <si>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</si>
  <si>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</si>
  <si>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</si>
  <si>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</si>
  <si>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</si>
  <si>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</si>
  <si>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</si>
  <si>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</si>
  <si>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</si>
  <si>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</si>
  <si>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</si>
  <si>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</si>
  <si>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</si>
  <si>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</si>
  <si>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</si>
  <si>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</si>
  <si>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</si>
  <si>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</si>
  <si>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</si>
  <si>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</si>
  <si>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</si>
  <si>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</si>
  <si>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</si>
  <si>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</si>
  <si>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</si>
  <si>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</si>
  <si>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</si>
  <si>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</si>
  <si>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</si>
  <si>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</si>
  <si>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</si>
  <si>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</si>
  <si>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</si>
  <si>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</si>
  <si>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</si>
  <si>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</si>
  <si>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</si>
  <si>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</si>
  <si>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</si>
  <si>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</si>
  <si>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</si>
  <si>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</si>
  <si>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</si>
  <si>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</si>
  <si>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</si>
  <si>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</si>
  <si>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</si>
  <si>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</si>
  <si>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</si>
  <si>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</si>
  <si>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</si>
  <si>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</si>
  <si>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</si>
  <si>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</si>
  <si>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</si>
  <si>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</si>
  <si>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</si>
  <si>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</si>
  <si>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</si>
  <si>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</si>
  <si>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</si>
  <si>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</si>
  <si>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</si>
  <si>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</si>
  <si>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</si>
  <si>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</si>
  <si>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</si>
  <si>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</si>
  <si>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</si>
  <si>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</si>
  <si>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</si>
  <si>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</si>
  <si>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</si>
  <si>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</si>
  <si>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</si>
  <si>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</si>
  <si>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</si>
  <si>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</si>
  <si>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</si>
  <si>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</si>
  <si>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</si>
  <si>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</si>
  <si>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</si>
  <si>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</si>
  <si>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</si>
  <si>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</si>
  <si>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</si>
  <si>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</si>
  <si>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</si>
  <si>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</si>
  <si>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</si>
  <si>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</si>
  <si>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</si>
  <si>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</si>
  <si>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</si>
  <si>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</si>
  <si>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</si>
  <si>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</si>
  <si>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</si>
  <si>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</si>
  <si>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</si>
  <si>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</si>
  <si>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</si>
  <si>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</si>
  <si>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</si>
  <si>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</si>
  <si>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</si>
  <si>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</si>
  <si>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</si>
  <si>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</si>
  <si>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</si>
  <si>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</si>
  <si>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</si>
  <si>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</si>
  <si>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</si>
  <si>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</si>
  <si>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</si>
  <si>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</si>
  <si>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</si>
  <si>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</si>
  <si>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</si>
  <si>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</si>
  <si>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</si>
  <si>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</si>
  <si>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</si>
  <si>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</si>
  <si>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</si>
  <si>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</si>
  <si>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</si>
  <si>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</si>
  <si>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</si>
  <si>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</si>
  <si>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</si>
  <si>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</si>
  <si>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</si>
  <si>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</si>
  <si>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</si>
  <si>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</si>
  <si>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</si>
  <si>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</si>
  <si>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</si>
  <si>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</si>
  <si>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</si>
  <si>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</si>
  <si>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</si>
  <si>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</si>
  <si>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</si>
  <si>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</si>
  <si>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</si>
  <si>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</si>
  <si>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</si>
  <si>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</si>
  <si>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</si>
  <si>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</si>
  <si>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</si>
  <si>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</si>
  <si>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</si>
  <si>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</si>
  <si>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</si>
  <si>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</si>
  <si>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</si>
  <si>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</si>
  <si>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</si>
  <si>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</si>
  <si>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</si>
  <si>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</si>
  <si>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</si>
  <si>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</si>
  <si>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</si>
  <si>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</si>
  <si>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</si>
  <si>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</si>
  <si>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</si>
  <si>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</si>
  <si>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</si>
  <si>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</si>
  <si>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</si>
  <si>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</si>
  <si>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</si>
  <si>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</si>
  <si>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</si>
  <si>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</si>
  <si>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</si>
  <si>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</si>
  <si>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</si>
  <si>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</si>
  <si>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</si>
  <si>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</si>
  <si>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</si>
  <si>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</si>
  <si>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</si>
  <si>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</si>
  <si>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</si>
  <si>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</si>
  <si>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</si>
  <si>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</si>
  <si>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</si>
  <si>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</si>
  <si>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</si>
  <si>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</si>
  <si>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</si>
  <si>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</si>
  <si>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</si>
  <si>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</si>
  <si>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</si>
  <si>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</si>
  <si>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</si>
  <si>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</si>
  <si>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</si>
  <si>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</si>
  <si>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</si>
  <si>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</si>
  <si>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</si>
  <si>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</si>
  <si>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</si>
  <si>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</si>
  <si>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</si>
  <si>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</si>
  <si>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</si>
  <si>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</si>
  <si>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</si>
  <si>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</si>
  <si>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</si>
  <si>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</si>
  <si>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</si>
  <si>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</si>
  <si>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</si>
  <si>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</si>
  <si>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</si>
  <si>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</si>
  <si>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</si>
  <si>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</si>
  <si>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</si>
  <si>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</si>
  <si>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</si>
  <si>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</si>
  <si>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</si>
  <si>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</si>
  <si>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</si>
  <si>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</si>
  <si>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</si>
  <si>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</si>
  <si>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</si>
  <si>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</si>
  <si>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</si>
  <si>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</si>
  <si>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</si>
  <si>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</si>
  <si>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</si>
  <si>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</si>
  <si>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</si>
  <si>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</si>
  <si>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</si>
  <si>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</si>
  <si>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</si>
  <si>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</si>
  <si>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</si>
  <si>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</si>
  <si>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</si>
  <si>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</si>
  <si>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</si>
  <si>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</si>
  <si>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</si>
  <si>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</si>
  <si>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</si>
  <si>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</si>
  <si>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</si>
  <si>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</si>
  <si>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</si>
  <si>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</si>
  <si>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</si>
  <si>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</si>
  <si>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</si>
  <si>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</si>
  <si>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</si>
  <si>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</si>
  <si>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</si>
  <si>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</si>
  <si>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</si>
  <si>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</si>
  <si>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</si>
  <si>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</si>
  <si>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</si>
  <si>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</si>
  <si>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</si>
  <si>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</si>
  <si>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</si>
  <si>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</si>
  <si>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</si>
  <si>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</si>
  <si>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</si>
  <si>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</si>
  <si>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</si>
  <si>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</si>
  <si>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</si>
  <si>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</si>
  <si>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</si>
  <si>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</si>
  <si>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</si>
  <si>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</si>
  <si>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</si>
  <si>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</si>
  <si>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</si>
  <si>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</si>
  <si>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</si>
  <si>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</si>
  <si>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</si>
  <si>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</si>
  <si>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</si>
  <si>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</si>
  <si>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</si>
  <si>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</si>
  <si>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</si>
  <si>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</si>
  <si>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</si>
  <si>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</si>
  <si>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</si>
  <si>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</si>
  <si>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</si>
  <si>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</si>
  <si>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</si>
  <si>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</si>
  <si>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</si>
  <si>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</si>
  <si>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</si>
  <si>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</si>
  <si>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</si>
  <si>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</si>
  <si>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</si>
  <si>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</si>
  <si>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</si>
  <si>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</si>
  <si>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</si>
  <si>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</si>
  <si>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</si>
  <si>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</si>
  <si>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</si>
  <si>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</si>
  <si>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</si>
  <si>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</si>
  <si>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</si>
  <si>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</si>
  <si>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</si>
  <si>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</si>
  <si>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</si>
  <si>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</si>
  <si>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</si>
  <si>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</si>
  <si>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</si>
  <si>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</si>
  <si>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</si>
  <si>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</si>
  <si>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</si>
  <si>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</si>
  <si>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</si>
  <si>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</si>
  <si>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</si>
  <si>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</si>
  <si>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</si>
  <si>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</si>
  <si>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</si>
  <si>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</si>
  <si>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</si>
  <si>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</si>
  <si>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</si>
  <si>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</si>
  <si>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</si>
  <si>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</si>
  <si>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</si>
  <si>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</si>
  <si>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</si>
  <si>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</si>
  <si>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</si>
  <si>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</si>
  <si>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</si>
  <si>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</si>
  <si>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</si>
  <si>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</si>
  <si>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</si>
  <si>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</si>
  <si>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</si>
  <si>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</si>
  <si>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</si>
  <si>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</si>
  <si>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</si>
  <si>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</si>
  <si>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</si>
  <si>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</si>
  <si>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</si>
  <si>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</si>
  <si>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</si>
  <si>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</si>
  <si>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</si>
  <si>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</si>
  <si>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</si>
  <si>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</si>
  <si>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</si>
  <si>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</si>
  <si>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</si>
  <si>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</si>
  <si>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</si>
  <si>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</si>
  <si>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</si>
  <si>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</si>
  <si>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</si>
  <si>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</si>
  <si>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</si>
  <si>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</si>
  <si>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</si>
  <si>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</si>
  <si>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</si>
  <si>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</si>
  <si>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</si>
  <si>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</si>
  <si>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</si>
  <si>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</si>
  <si>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</si>
  <si>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</si>
  <si>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</si>
  <si>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</si>
  <si>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</si>
  <si>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</si>
  <si>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</si>
  <si>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</si>
  <si>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</si>
  <si>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</si>
  <si>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</si>
  <si>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</si>
  <si>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</si>
  <si>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</si>
  <si>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</si>
  <si>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</si>
  <si>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</si>
  <si>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</si>
  <si>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</si>
  <si>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</si>
  <si>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</si>
  <si>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</si>
  <si>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</si>
  <si>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</si>
  <si>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</si>
  <si>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</si>
  <si>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</si>
  <si>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</si>
  <si>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</si>
  <si>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</si>
  <si>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</si>
  <si>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</si>
  <si>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</si>
  <si>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</si>
  <si>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</si>
  <si>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</si>
  <si>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</si>
  <si>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</si>
  <si>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</si>
  <si>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</si>
  <si>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</si>
  <si>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</si>
  <si>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</si>
  <si>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</si>
  <si>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</si>
  <si>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</si>
  <si>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</si>
  <si>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</si>
  <si>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</si>
  <si>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</si>
  <si>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</si>
  <si>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</si>
  <si>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</si>
  <si>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</si>
  <si>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</si>
  <si>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</si>
  <si>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</si>
  <si>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</si>
  <si>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</si>
  <si>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</si>
  <si>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</si>
  <si>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</si>
  <si>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</si>
  <si>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</si>
  <si>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</si>
  <si>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</si>
  <si>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</si>
  <si>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</si>
  <si>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</si>
  <si>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</si>
  <si>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</si>
  <si>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</si>
  <si>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</si>
  <si>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</si>
  <si>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</si>
  <si>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</si>
  <si>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</si>
  <si>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</si>
  <si>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</si>
  <si>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</si>
  <si>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</si>
  <si>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</si>
  <si>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</si>
  <si>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</si>
  <si>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</si>
  <si>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</si>
  <si>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</si>
  <si>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</si>
  <si>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</si>
  <si>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</si>
  <si>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</si>
  <si>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</si>
  <si>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</si>
  <si>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</si>
  <si>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</si>
  <si>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</si>
  <si>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</si>
  <si>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</si>
  <si>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</si>
  <si>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</si>
  <si>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</si>
  <si>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</si>
  <si>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</si>
  <si>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</si>
  <si>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</si>
  <si>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</si>
  <si>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</si>
  <si>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</si>
  <si>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</si>
  <si>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</si>
  <si>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</si>
  <si>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</si>
  <si>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</si>
  <si>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</si>
  <si>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</si>
  <si>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</si>
  <si>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</si>
  <si>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</si>
  <si>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</si>
  <si>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</si>
  <si>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</si>
  <si>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</si>
  <si>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</si>
  <si>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</si>
  <si>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</si>
  <si>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</si>
  <si>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</si>
  <si>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</si>
  <si>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</si>
  <si>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</si>
  <si>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</si>
  <si>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</si>
  <si>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</si>
  <si>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</si>
  <si>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</si>
  <si>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</si>
  <si>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</si>
  <si>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</si>
  <si>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</si>
  <si>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</si>
  <si>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</si>
  <si>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</si>
  <si>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</si>
  <si>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</si>
  <si>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</si>
  <si>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</si>
  <si>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</si>
  <si>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</si>
  <si>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</si>
  <si>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</si>
  <si>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</si>
  <si>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</si>
  <si>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</si>
  <si>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</si>
  <si>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</si>
  <si>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</si>
  <si>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</si>
  <si>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</si>
  <si>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</si>
  <si>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</si>
  <si>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</si>
  <si>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</si>
  <si>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</si>
  <si>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</si>
  <si>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</si>
  <si>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</si>
  <si>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</si>
  <si>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</si>
  <si>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</si>
  <si>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</si>
  <si>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</si>
  <si>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</si>
  <si>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</si>
  <si>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</si>
  <si>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</si>
  <si>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</si>
  <si>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</si>
  <si>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</si>
  <si>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</si>
  <si>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</si>
  <si>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</si>
  <si>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</si>
  <si>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</si>
  <si>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</si>
  <si>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</si>
  <si>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</si>
  <si>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</si>
  <si>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</si>
  <si>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</si>
  <si>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</si>
  <si>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</si>
  <si>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</si>
  <si>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</si>
  <si>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</si>
  <si>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</si>
  <si>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</si>
  <si>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</si>
  <si>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</si>
  <si>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</si>
  <si>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</si>
  <si>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</si>
  <si>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</si>
  <si>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</si>
  <si>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</si>
  <si>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</si>
  <si>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</si>
  <si>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</si>
  <si>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</si>
  <si>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</si>
  <si>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</si>
  <si>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</si>
  <si>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</si>
  <si>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</si>
  <si>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</si>
  <si>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</si>
  <si>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</si>
  <si>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</si>
  <si>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</si>
  <si>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</si>
  <si>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</si>
  <si>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</si>
  <si>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</si>
  <si>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</si>
  <si>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</si>
  <si>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</si>
  <si>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</si>
  <si>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</si>
  <si>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</si>
  <si>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</si>
  <si>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</si>
  <si>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</si>
  <si>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</si>
  <si>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</si>
  <si>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</si>
  <si>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</si>
  <si>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</si>
  <si>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</si>
  <si>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</si>
  <si>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</si>
  <si>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</si>
  <si>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</si>
  <si>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</si>
  <si>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</si>
  <si>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</si>
  <si>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</si>
  <si>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</si>
  <si>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</si>
  <si>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</si>
  <si>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</si>
  <si>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</si>
  <si>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</si>
  <si>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</si>
  <si>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</si>
  <si>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</si>
  <si>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</si>
  <si>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</si>
  <si>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</si>
  <si>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</si>
  <si>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</si>
  <si>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</si>
  <si>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</si>
  <si>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</si>
  <si>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</si>
  <si>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</si>
  <si>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</si>
  <si>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</si>
  <si>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</si>
  <si>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</si>
  <si>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</si>
  <si>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</si>
  <si>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</si>
  <si>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</si>
  <si>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</si>
  <si>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</si>
  <si>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</si>
  <si>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</si>
  <si>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</si>
  <si>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</si>
  <si>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</si>
  <si>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</si>
  <si>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</si>
  <si>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</si>
  <si>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</si>
  <si>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</si>
  <si>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</si>
  <si>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</si>
  <si>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</si>
  <si>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</si>
  <si>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</si>
  <si>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</si>
  <si>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</si>
  <si>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</si>
  <si>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</si>
  <si>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</si>
  <si>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</si>
  <si>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</si>
  <si>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</si>
  <si>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</si>
  <si>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</si>
  <si>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</si>
  <si>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</si>
  <si>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</si>
  <si>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</si>
  <si>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</si>
  <si>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</si>
  <si>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</si>
  <si>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</si>
  <si>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</si>
  <si>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</si>
  <si>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</si>
  <si>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</si>
  <si>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</si>
  <si>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</si>
  <si>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</si>
  <si>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</si>
  <si>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</si>
  <si>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</si>
  <si>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</si>
  <si>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</si>
  <si>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</si>
  <si>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</si>
  <si>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</si>
  <si>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</si>
  <si>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</si>
  <si>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</si>
  <si>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</si>
  <si>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</si>
  <si>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</si>
  <si>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</si>
  <si>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</si>
  <si>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</si>
  <si>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</si>
  <si>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</si>
  <si>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</si>
  <si>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</si>
  <si>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</si>
  <si>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</si>
  <si>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</si>
  <si>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</si>
  <si>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</si>
  <si>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</si>
  <si>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</si>
  <si>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</si>
  <si>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</si>
  <si>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</si>
  <si>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</si>
  <si>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</si>
  <si>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</si>
  <si>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</si>
  <si>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</si>
  <si>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</si>
  <si>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</si>
  <si>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</si>
  <si>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</si>
  <si>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</si>
  <si>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</si>
  <si>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</si>
  <si>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</si>
  <si>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</si>
  <si>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</si>
  <si>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</si>
  <si>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</si>
  <si>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</si>
  <si>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</si>
  <si>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</si>
  <si>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</si>
  <si>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</si>
  <si>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</si>
  <si>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</si>
  <si>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</si>
  <si>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</si>
  <si>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</si>
  <si>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</si>
  <si>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</si>
  <si>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</si>
  <si>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</si>
  <si>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</si>
  <si>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</si>
  <si>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</si>
  <si>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</si>
  <si>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</si>
  <si>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</si>
  <si>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</si>
  <si>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</si>
  <si>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</si>
  <si>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</si>
  <si>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</si>
  <si>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</si>
  <si>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</si>
  <si>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</si>
  <si>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</si>
  <si>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</si>
  <si>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</si>
  <si>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</si>
  <si>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</si>
  <si>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</si>
  <si>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</si>
  <si>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</si>
  <si>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</si>
  <si>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</si>
  <si>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</si>
  <si>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</si>
  <si>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</si>
  <si>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</si>
  <si>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</si>
  <si>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</si>
  <si>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</si>
  <si>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</si>
  <si>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</si>
  <si>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</si>
  <si>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</si>
  <si>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</si>
  <si>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</si>
  <si>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</si>
  <si>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</si>
  <si>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</si>
  <si>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</si>
  <si>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</si>
  <si>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</si>
  <si>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</si>
  <si>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</si>
  <si>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</si>
  <si>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</si>
  <si>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</si>
  <si>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</si>
  <si>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</si>
  <si>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</si>
  <si>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</si>
  <si>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</si>
  <si>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</si>
  <si>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</si>
  <si>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</si>
  <si>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</si>
  <si>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</si>
  <si>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</si>
  <si>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</si>
  <si>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</si>
  <si>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</si>
  <si>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</si>
  <si>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</si>
  <si>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</si>
  <si>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</si>
  <si>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</si>
  <si>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</si>
  <si>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</si>
  <si>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</si>
  <si>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</si>
  <si>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</si>
  <si>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</si>
  <si>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</si>
  <si>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</si>
  <si>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</si>
  <si>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</si>
  <si>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</si>
  <si>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</si>
  <si>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</si>
  <si>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</si>
  <si>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</si>
  <si>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</si>
  <si>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</si>
  <si>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</si>
  <si>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</si>
  <si>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</si>
  <si>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</si>
  <si>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</si>
  <si>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</si>
  <si>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</si>
  <si>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</si>
  <si>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</si>
  <si>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</si>
  <si>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</si>
  <si>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</si>
  <si>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</si>
  <si>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</si>
  <si>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</si>
  <si>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</si>
  <si>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</si>
  <si>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</si>
  <si>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</si>
  <si>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</si>
  <si>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</si>
  <si>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</si>
  <si>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</si>
  <si>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</si>
  <si>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</si>
  <si>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</si>
  <si>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</si>
  <si>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</si>
  <si>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</si>
  <si>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</si>
  <si>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</si>
  <si>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</si>
  <si>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</si>
  <si>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</si>
  <si>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</si>
  <si>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</si>
  <si>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</si>
  <si>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</si>
  <si>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</si>
  <si>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</si>
  <si>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</si>
  <si>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</si>
  <si>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</si>
  <si>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</si>
  <si>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</si>
  <si>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</si>
  <si>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</si>
  <si>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</si>
  <si>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</si>
  <si>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</si>
  <si>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</si>
  <si>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</si>
  <si>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</si>
  <si>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</si>
  <si>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</si>
  <si>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</si>
  <si>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</si>
  <si>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</si>
  <si>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</si>
  <si>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</si>
  <si>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</si>
  <si>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</si>
  <si>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</si>
  <si>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</si>
  <si>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</si>
  <si>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</si>
  <si>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</si>
  <si>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</si>
  <si>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</si>
  <si>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</si>
  <si>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</si>
  <si>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</si>
  <si>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</si>
  <si>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</si>
  <si>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</si>
  <si>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</si>
  <si>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</si>
  <si>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</si>
  <si>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</si>
  <si>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</si>
  <si>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</si>
  <si>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</si>
  <si>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</si>
  <si>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</si>
  <si>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</si>
  <si>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</si>
  <si>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</si>
  <si>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</si>
  <si>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</si>
  <si>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</si>
  <si>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</si>
  <si>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</si>
  <si>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</si>
  <si>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</si>
  <si>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</si>
  <si>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</si>
  <si>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</si>
  <si>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</si>
  <si>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</si>
  <si>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</si>
  <si>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</si>
  <si>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</si>
  <si>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</si>
  <si>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</si>
  <si>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</si>
  <si>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</si>
  <si>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</si>
  <si>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</si>
  <si>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</si>
  <si>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</si>
  <si>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</si>
  <si>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</si>
  <si>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</si>
  <si>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</si>
  <si>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</si>
  <si>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</si>
  <si>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</si>
  <si>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</si>
  <si>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</si>
  <si>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</si>
  <si>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</si>
  <si>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</si>
  <si>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</si>
  <si>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</si>
  <si>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</si>
  <si>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</si>
  <si>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</si>
  <si>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</si>
  <si>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</si>
  <si>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</si>
  <si>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</si>
  <si>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</si>
  <si>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</si>
  <si>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</si>
  <si>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</si>
  <si>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</si>
  <si>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</si>
  <si>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</si>
  <si>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</si>
  <si>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</si>
  <si>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</si>
  <si>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</si>
  <si>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</si>
  <si>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</si>
  <si>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</si>
  <si>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</si>
  <si>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</si>
  <si>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</si>
  <si>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</si>
  <si>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</si>
  <si>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</si>
  <si>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</si>
  <si>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</si>
  <si>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</si>
  <si>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</si>
  <si>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</si>
  <si>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</si>
  <si>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</si>
  <si>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</si>
  <si>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</si>
  <si>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</si>
  <si>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</si>
  <si>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</si>
  <si>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</si>
  <si>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</si>
  <si>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</si>
  <si>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</si>
  <si>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</si>
  <si>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</si>
  <si>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</si>
  <si>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</si>
  <si>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</si>
  <si>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</si>
  <si>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</si>
  <si>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</si>
  <si>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</si>
  <si>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</si>
  <si>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</si>
  <si>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</si>
  <si>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</si>
  <si>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</si>
  <si>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</si>
  <si>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</si>
  <si>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</si>
  <si>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</si>
  <si>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</si>
  <si>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</si>
  <si>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</si>
  <si>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</si>
  <si>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</si>
  <si>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</si>
  <si>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</si>
  <si>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</si>
  <si>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</si>
  <si>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</si>
  <si>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</si>
  <si>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</si>
  <si>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</si>
  <si>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</si>
  <si>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</si>
  <si>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</si>
  <si>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</si>
  <si>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</si>
  <si>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</si>
  <si>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</si>
  <si>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</si>
  <si>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</si>
  <si>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</si>
  <si>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</si>
  <si>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</si>
  <si>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</si>
  <si>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</si>
  <si>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</si>
  <si>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</si>
  <si>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</si>
  <si>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</si>
  <si>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</si>
  <si>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</si>
  <si>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</si>
  <si>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</si>
  <si>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</si>
  <si>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</si>
  <si>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</si>
  <si>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</si>
  <si>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</si>
  <si>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</si>
  <si>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</si>
  <si>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</si>
  <si>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</si>
  <si>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</si>
  <si>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</si>
  <si>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</si>
  <si>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</si>
  <si>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</si>
  <si>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</si>
  <si>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</si>
  <si>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</si>
  <si>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</si>
  <si>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</si>
  <si>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</si>
  <si>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</si>
  <si>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</si>
  <si>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</si>
  <si>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</si>
  <si>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</si>
  <si>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</si>
  <si>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</si>
  <si>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</si>
  <si>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</si>
  <si>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</si>
  <si>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</si>
  <si>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</si>
  <si>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</si>
  <si>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</si>
  <si>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</si>
  <si>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</si>
  <si>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</si>
  <si>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</si>
  <si>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</si>
  <si>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</si>
  <si>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</si>
  <si>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</si>
  <si>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</si>
  <si>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</si>
  <si>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</si>
  <si>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</si>
  <si>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</si>
  <si>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</si>
  <si>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</si>
  <si>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</si>
  <si>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</si>
  <si>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</si>
  <si>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</si>
  <si>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</si>
  <si>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</si>
  <si>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</si>
  <si>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</si>
  <si>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</si>
  <si>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</si>
  <si>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</si>
  <si>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</si>
  <si>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</si>
  <si>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</si>
  <si>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</si>
  <si>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</si>
  <si>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</si>
  <si>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</si>
  <si>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</si>
  <si>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</si>
  <si>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</si>
  <si>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</si>
  <si>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</si>
  <si>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</si>
  <si>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</si>
  <si>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</si>
  <si>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</si>
  <si>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</si>
  <si>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</si>
  <si>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</si>
  <si>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</si>
  <si>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</si>
  <si>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</si>
  <si>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</si>
  <si>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</si>
  <si>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</si>
  <si>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</si>
  <si>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</si>
  <si>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</si>
  <si>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</si>
  <si>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</si>
  <si>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</si>
  <si>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</si>
  <si>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</si>
  <si>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</si>
  <si>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</si>
  <si>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</si>
  <si>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</si>
  <si>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</si>
  <si>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</si>
  <si>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</si>
  <si>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</si>
  <si>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</si>
  <si>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</si>
  <si>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</si>
  <si>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</si>
  <si>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</si>
  <si>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</si>
  <si>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</si>
  <si>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</si>
  <si>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</si>
  <si>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</si>
  <si>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</si>
  <si>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</si>
  <si>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</si>
  <si>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</si>
  <si>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</si>
  <si>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</si>
  <si>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</si>
  <si>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</si>
  <si>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</si>
  <si>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</si>
  <si>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</si>
  <si>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</si>
  <si>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</si>
  <si>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</si>
  <si>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</si>
  <si>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</si>
  <si>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</si>
  <si>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</si>
  <si>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</si>
  <si>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</si>
  <si>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</si>
  <si>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</si>
  <si>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</si>
  <si>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</si>
  <si>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</si>
  <si>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</si>
  <si>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</si>
  <si>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</si>
  <si>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</si>
  <si>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</si>
  <si>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</si>
  <si>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</si>
  <si>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</si>
  <si>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</si>
  <si>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</si>
  <si>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</si>
  <si>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</si>
  <si>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</si>
  <si>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</si>
  <si>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</si>
  <si>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</si>
  <si>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</si>
  <si>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</si>
  <si>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</si>
  <si>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</si>
  <si>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</si>
  <si>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</si>
  <si>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</si>
  <si>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</si>
  <si>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</si>
  <si>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</si>
  <si>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</si>
  <si>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</si>
  <si>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</si>
  <si>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</si>
  <si>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</si>
  <si>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</si>
  <si>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</si>
  <si>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</si>
  <si>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</si>
  <si>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</si>
  <si>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</si>
  <si>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</si>
  <si>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</si>
  <si>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</si>
  <si>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</si>
  <si>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</si>
  <si>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</si>
  <si>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</si>
  <si>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</si>
  <si>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</si>
  <si>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</si>
  <si>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</si>
  <si>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</si>
  <si>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</si>
  <si>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</si>
  <si>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</si>
  <si>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</si>
  <si>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</si>
  <si>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</si>
  <si>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</si>
  <si>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</si>
  <si>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</si>
  <si>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</si>
  <si>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</si>
  <si>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</si>
  <si>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</si>
  <si>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</si>
  <si>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</si>
  <si>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</si>
  <si>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</si>
  <si>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</si>
  <si>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</si>
  <si>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</si>
  <si>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</si>
  <si>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</si>
  <si>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</si>
  <si>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</si>
  <si>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</si>
  <si>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</si>
  <si>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</si>
  <si>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</si>
  <si>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</si>
  <si>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</si>
  <si>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</si>
  <si>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</si>
  <si>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</si>
  <si>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</si>
  <si>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</si>
  <si>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</si>
  <si>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</si>
  <si>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</si>
  <si>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</si>
  <si>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</si>
  <si>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</si>
  <si>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</si>
  <si>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</si>
  <si>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</si>
  <si>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</si>
  <si>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</si>
  <si>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</si>
  <si>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</si>
  <si>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</si>
  <si>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</si>
  <si>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</si>
  <si>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</si>
  <si>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</si>
  <si>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</si>
  <si>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</si>
  <si>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</si>
  <si>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</si>
  <si>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</si>
  <si>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</si>
  <si>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</si>
  <si>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</si>
  <si>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</si>
  <si>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</si>
  <si>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</si>
  <si>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</si>
  <si>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</si>
  <si>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</si>
  <si>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</si>
  <si>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</si>
  <si>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</si>
  <si>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</si>
  <si>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</si>
  <si>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</si>
  <si>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</si>
  <si>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</si>
  <si>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</si>
  <si>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</si>
  <si>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</si>
  <si>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</si>
  <si>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</si>
  <si>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</si>
  <si>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</si>
  <si>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</si>
  <si>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</si>
  <si>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</si>
  <si>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</si>
  <si>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</si>
  <si>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</si>
  <si>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</si>
  <si>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</si>
  <si>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</si>
  <si>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</si>
  <si>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</si>
  <si>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</si>
  <si>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</si>
  <si>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</si>
  <si>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</si>
  <si>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</si>
  <si>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</si>
  <si>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</si>
  <si>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</si>
  <si>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</si>
  <si>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</si>
  <si>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</si>
  <si>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</si>
  <si>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</si>
  <si>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</si>
  <si>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</si>
  <si>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</si>
  <si>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</si>
  <si>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</si>
  <si>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</si>
  <si>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</si>
  <si>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</si>
  <si>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</si>
  <si>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</si>
  <si>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</si>
  <si>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</si>
  <si>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</si>
  <si>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</si>
  <si>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</si>
  <si>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</si>
  <si>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</si>
  <si>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</si>
  <si>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</si>
  <si>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</si>
  <si>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</si>
  <si>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</si>
  <si>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</si>
  <si>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</si>
  <si>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</si>
  <si>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</si>
  <si>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</si>
  <si>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</si>
  <si>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</si>
  <si>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</si>
  <si>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</si>
  <si>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</si>
  <si>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</si>
  <si>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</si>
  <si>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</si>
  <si>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</si>
  <si>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</si>
  <si>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</si>
  <si>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</si>
  <si>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</si>
  <si>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</si>
  <si>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</si>
  <si>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</si>
  <si>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</si>
  <si>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</si>
  <si>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</si>
  <si>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</si>
  <si>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</si>
  <si>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</si>
  <si>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</si>
  <si>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</si>
  <si>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</si>
  <si>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</si>
  <si>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</si>
  <si>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</si>
  <si>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</si>
  <si>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deslocamento para o local da descarga</t>
  </si>
  <si>
    <t>Equipe pronta 07:28 - Em intervalo das 10:12h as 11:42h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</si>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</sst>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G1" activePane="topRight" state="frozen"/>
      <selection pane="topRight" activeCell="D79" sqref="D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14" t="s">
        <v>1550</v>
      </c>
      <c r="BK170" s="14" t="s">
        <v>1550</v>
      </c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1551</v>
      </c>
      <c r="BK171" s="14" t="s">
        <v>1551</v>
      </c>
      <c r="BL171" s="13"/>
      <c r="BM171" s="12"/>
      <c r="BN171" s="12"/>
      <c r="BO171" s="130"/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1552</v>
      </c>
      <c r="BK172" s="14" t="s">
        <v>1552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1553</v>
      </c>
      <c r="BK173" s="14" t="s">
        <v>1553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1554</v>
      </c>
      <c r="W174" s="135" t="s">
        <v>1555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1556</v>
      </c>
      <c r="BK174" s="14" t="s">
        <v>1556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1557</v>
      </c>
      <c r="BK175" s="14" t="s">
        <v>1557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1558</v>
      </c>
      <c r="BK176" s="14" t="s">
        <v>1558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1559</v>
      </c>
      <c r="BK177" s="14" t="s">
        <v>1559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1560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1561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14.45">
      <c r="A183" s="44" t="str">
        <f t="shared" si="15"/>
        <v>V4846094</v>
      </c>
      <c r="B183" s="133">
        <v>46094</v>
      </c>
      <c r="C183" s="7">
        <f>IF(BS_CONTROLE[[#This Row],[DATA]]="","",WEEKNUM(BS_CONTROLE[[#This Row],[DATA]]))</f>
        <v>11</v>
      </c>
      <c r="D183" s="45" t="s">
        <v>183</v>
      </c>
      <c r="E183" s="185">
        <v>197</v>
      </c>
      <c r="F183" s="134" t="s">
        <v>142</v>
      </c>
      <c r="G183" s="8" t="str">
        <f>IF(D183="","*",VLOOKUP(F183,BS_ATIVIDADE[#All],3,FALSE))</f>
        <v>MODERNIZAÇÃO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149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1500</v>
      </c>
      <c r="R183" s="9" t="str">
        <f>IFERROR(_xlfn.XLOOKUP(F183, BS_ATIVIDADE[ATIVIDADE],BS_ATIVIDADE[UNIDADE] ), "*")</f>
        <v>M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143" t="s">
        <v>1274</v>
      </c>
      <c r="W183" s="135" t="s">
        <v>1436</v>
      </c>
      <c r="X183" s="152" t="s">
        <v>374</v>
      </c>
      <c r="Y183" s="129"/>
      <c r="Z183" s="129"/>
      <c r="AA183" s="71">
        <v>1</v>
      </c>
      <c r="AB183" s="59" t="s">
        <v>371</v>
      </c>
      <c r="AC183" s="59" t="s">
        <v>366</v>
      </c>
      <c r="AD183" s="135">
        <v>0.29166666666666669</v>
      </c>
      <c r="AE183" s="71">
        <v>6248</v>
      </c>
      <c r="AF183" s="71"/>
      <c r="AG183" s="71"/>
      <c r="AH183" s="42"/>
      <c r="AI183" s="119" t="str">
        <f>IF(BS_CONTROLE[[#This Row],[Atividade]]=0, "-", BS_CONTROLE[[#This Row],[Atividade]])</f>
        <v>MODERNIZAÇÃO - SOCADORA</v>
      </c>
      <c r="AJ183" s="8" t="str">
        <f>IF(D183="","*",VLOOKUP(AI183,BS_ATIVIDADE[#Data],3,FALSE))</f>
        <v>MODERNIZAÇÃO</v>
      </c>
      <c r="AK183" s="175" t="str">
        <f>IF(BS_CONTROLE[[#This Row],[Local - Partida]]=0, "-", BS_CONTROLE[[#This Row],[Local - Partida]])</f>
        <v>TVI2</v>
      </c>
      <c r="AL183" s="175" t="str">
        <f>IF(BS_CONTROLE[[#This Row],[Local - Encerramento]]=0, "-", BS_CONTROLE[[#This Row],[Local - Encerramento]])</f>
        <v>TVI2</v>
      </c>
      <c r="AM183" s="175" t="str">
        <f>IF(BS_CONTROLE[[#This Row],[Entre - Estações]]=0, "-", BS_CONTROLE[[#This Row],[Entre - Estações]])</f>
        <v>TVI-TJA</v>
      </c>
      <c r="AN183" s="175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32"/>
      <c r="AS183" s="32"/>
      <c r="AT183" s="32"/>
      <c r="AU183" s="32"/>
      <c r="AV183" s="32"/>
      <c r="AW183" s="32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M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Produção e Intervalo</v>
      </c>
      <c r="BR183" s="15">
        <f t="shared" si="17"/>
        <v>0</v>
      </c>
      <c r="BS183" s="15">
        <f t="shared" si="18"/>
        <v>0</v>
      </c>
      <c r="BT183" s="157" t="str">
        <f t="shared" si="19"/>
        <v/>
      </c>
    </row>
    <row r="184" spans="1:72" ht="14.45">
      <c r="A184" s="44" t="str">
        <f t="shared" si="15"/>
        <v>V6646094</v>
      </c>
      <c r="B184" s="133">
        <v>46094</v>
      </c>
      <c r="C184" s="7">
        <f>IF(BS_CONTROLE[[#This Row],[DATA]]="","",WEEKNUM(BS_CONTROLE[[#This Row],[DATA]]))</f>
        <v>11</v>
      </c>
      <c r="D184" s="45" t="s">
        <v>192</v>
      </c>
      <c r="E184" s="185">
        <v>198</v>
      </c>
      <c r="F184" s="134" t="s">
        <v>235</v>
      </c>
      <c r="G184" s="8" t="str">
        <f>IF(D184="","*",VLOOKUP(F184,BS_ATIVIDADE[#All],3,FALSE))</f>
        <v>MODERNIZAÇÃO</v>
      </c>
      <c r="H184" s="135" t="s">
        <v>620</v>
      </c>
      <c r="I184" s="135" t="s">
        <v>620</v>
      </c>
      <c r="J184" s="151">
        <v>74</v>
      </c>
      <c r="K184" s="151">
        <v>155.19999999999999</v>
      </c>
      <c r="L184" s="71">
        <v>158.69999999999999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4" s="135">
        <v>0.375</v>
      </c>
      <c r="P184" s="135">
        <v>4.1666666666666664E-2</v>
      </c>
      <c r="Q184" s="71">
        <v>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1391</v>
      </c>
      <c r="X184" s="152" t="s">
        <v>379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6066</v>
      </c>
      <c r="AF184" s="71"/>
      <c r="AG184" s="71"/>
      <c r="AH184" s="42"/>
      <c r="AI184" s="119" t="str">
        <f>IF(BS_CONTROLE[[#This Row],[Atividade]]=0, "-", BS_CONTROLE[[#This Row],[Atividade]])</f>
        <v>MODERNIZAÇÃO - REGULAGEM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TID2</v>
      </c>
      <c r="AL184" s="175" t="str">
        <f>IF(BS_CONTROLE[[#This Row],[Local - Encerramento]]=0, "-", BS_CONTROLE[[#This Row],[Local - Encerramento]])</f>
        <v>TID2</v>
      </c>
      <c r="AM184" s="175" t="str">
        <f>IF(BS_CONTROLE[[#This Row],[Entre - Estações]]=0, "-", BS_CONTROLE[[#This Row],[Entre - Estações]])</f>
        <v>TMO-TCE</v>
      </c>
      <c r="AN184" s="175" t="str">
        <f>IF(BS_CONTROLE[[#This Row],[SB]]=0, "-", BS_CONTROLE[[#This Row],[SB]])</f>
        <v>155TCE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155.19999999999999</v>
      </c>
      <c r="AQ184" s="177">
        <f>IF(BS_CONTROLE[[#This Row],[KM - Fim]]=0, "-", BS_CONTROLE[[#This Row],[KM - Fim]])</f>
        <v>158.69999999999999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BRUNO (TF-525)46094</v>
      </c>
      <c r="B185" s="133">
        <v>46094</v>
      </c>
      <c r="C185" s="7">
        <f>IF(BS_CONTROLE[[#This Row],[DATA]]="","",WEEKNUM(BS_CONTROLE[[#This Row],[DATA]]))</f>
        <v>11</v>
      </c>
      <c r="D185" s="45" t="s">
        <v>278</v>
      </c>
      <c r="E185" s="185">
        <v>199</v>
      </c>
      <c r="F185" s="134" t="s">
        <v>193</v>
      </c>
      <c r="G185" s="8" t="str">
        <f>IF(D185="","*",VLOOKUP(F185,BS_ATIVIDADE[#All],3,FALSE))</f>
        <v>SOLDA</v>
      </c>
      <c r="H185" s="135" t="s">
        <v>597</v>
      </c>
      <c r="I185" s="135" t="s">
        <v>11</v>
      </c>
      <c r="J185" s="151">
        <v>74</v>
      </c>
      <c r="K185" s="151">
        <v>97.04</v>
      </c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5" s="135">
        <v>0.33333333333333331</v>
      </c>
      <c r="P185" s="135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1270</v>
      </c>
      <c r="W185" s="135" t="s">
        <v>1562</v>
      </c>
      <c r="X185" s="152" t="s">
        <v>379</v>
      </c>
      <c r="Y185" s="129"/>
      <c r="Z185" s="129"/>
      <c r="AA185" s="71" t="s">
        <v>11</v>
      </c>
      <c r="AB185" s="59"/>
      <c r="AC185" s="59"/>
      <c r="AD185" s="135" t="s">
        <v>11</v>
      </c>
      <c r="AE185" s="71" t="s">
        <v>11</v>
      </c>
      <c r="AF185" s="71" t="s">
        <v>11</v>
      </c>
      <c r="AG185" s="71" t="s">
        <v>11</v>
      </c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5" t="str">
        <f>IF(BS_CONTROLE[[#This Row],[Local - Partida]]=0, "-", BS_CONTROLE[[#This Row],[Local - Partida]])</f>
        <v>K97TIN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TSP-TIN</v>
      </c>
      <c r="AN185" s="175" t="str">
        <f>IF(BS_CONTROLE[[#This Row],[SB]]=0, "-", BS_CONTROLE[[#This Row],[SB]])</f>
        <v>K97TIN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97.04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Bruno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E1846094</v>
      </c>
      <c r="B186" s="133">
        <v>46094</v>
      </c>
      <c r="C186" s="7">
        <f>IF(BS_CONTROLE[[#This Row],[DATA]]="","",WEEKNUM(BS_CONTROLE[[#This Row],[DATA]]))</f>
        <v>11</v>
      </c>
      <c r="D186" s="45" t="s">
        <v>1280</v>
      </c>
      <c r="E186" s="185">
        <v>200</v>
      </c>
      <c r="F186" s="134" t="s">
        <v>13</v>
      </c>
      <c r="G186" s="8" t="str">
        <f>IF(D186="","*",VLOOKUP(F186,BS_ATIVIDADE[#All],3,FALSE))</f>
        <v>CAMINHÂO - SOLDA</v>
      </c>
      <c r="H186" s="135" t="s">
        <v>827</v>
      </c>
      <c r="I186" s="135" t="s">
        <v>827</v>
      </c>
      <c r="J186" s="151">
        <v>78</v>
      </c>
      <c r="K186" s="151">
        <v>178.35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6" s="135">
        <v>0.35416666666666669</v>
      </c>
      <c r="P186" s="135">
        <v>0.125</v>
      </c>
      <c r="Q186" s="71">
        <v>3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6" s="199" t="str">
        <f>IFERROR(_xlfn.XLOOKUP(J186, BASE_MAPA!$B$2:$B$408, BASE_MAPA!$G$2:$G$408), "ERRO")</f>
        <v>ITIRAPINA - BAURU</v>
      </c>
      <c r="V186" s="143" t="s">
        <v>1525</v>
      </c>
      <c r="W186" s="135" t="s">
        <v>1282</v>
      </c>
      <c r="X186" s="152" t="s">
        <v>379</v>
      </c>
      <c r="Y186" s="129"/>
      <c r="Z186" s="129"/>
      <c r="AA186" s="71">
        <v>1</v>
      </c>
      <c r="AB186" s="59" t="s">
        <v>371</v>
      </c>
      <c r="AC186" s="59" t="s">
        <v>366</v>
      </c>
      <c r="AD186" s="135">
        <v>0.29166666666666669</v>
      </c>
      <c r="AE186" s="71">
        <v>6252</v>
      </c>
      <c r="AF186" s="71"/>
      <c r="AG186" s="71"/>
      <c r="AH186" s="42"/>
      <c r="AI186" s="119" t="str">
        <f>IF(BS_CONTROLE[[#This Row],[Atividade]]=0, "-", BS_CONTROLE[[#This Row],[Atividade]])</f>
        <v>CAMINHÃO DE SOLDA</v>
      </c>
      <c r="AJ186" s="8" t="str">
        <f>IF(D186="","*",VLOOKUP(AI186,BS_ATIVIDADE[#Data],3,FALSE))</f>
        <v>CAMINHÂO - SOLDA</v>
      </c>
      <c r="AK186" s="175" t="str">
        <f>IF(BS_CONTROLE[[#This Row],[Local - Partida]]=0, "-", BS_CONTROLE[[#This Row],[Local - Partida]])</f>
        <v>ZIQZQY</v>
      </c>
      <c r="AL186" s="175" t="str">
        <f>IF(BS_CONTROLE[[#This Row],[Local - Encerramento]]=0, "-", BS_CONTROLE[[#This Row],[Local - Encerramento]])</f>
        <v>ZIQZQY</v>
      </c>
      <c r="AM186" s="175" t="str">
        <f>IF(BS_CONTROLE[[#This Row],[Entre - Estações]]=0, "-", BS_CONTROLE[[#This Row],[Entre - Estações]])</f>
        <v>ZIQ-ZQY</v>
      </c>
      <c r="AN186" s="175" t="str">
        <f>IF(BS_CONTROLE[[#This Row],[SB]]=0, "-", BS_CONTROLE[[#This Row],[SB]])</f>
        <v>ZIQZQY</v>
      </c>
      <c r="AO186" s="176">
        <f>IF(BS_CONTROLE[[#This Row],[SUB]]=0, "-", BS_CONTROLE[[#This Row],[SUB]])</f>
        <v>78</v>
      </c>
      <c r="AP186" s="177">
        <f>IF(BS_CONTROLE[[#This Row],[KM - Inicio]]=0, "-", BS_CONTROLE[[#This Row],[KM - Inicio]])</f>
        <v>178.35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6" s="200" t="str">
        <f>IFERROR(_xlfn.XLOOKUP(AO186, BASE_MAPA!$B$2:$B$408, BASE_MAPA!$G$2:$G$408), "ERRO")</f>
        <v>ITIRAPINA - BAURU</v>
      </c>
      <c r="BF186" s="178" t="str">
        <f>IF(BS_CONTROLE[[#This Row],[Responsavel pelo boletim]]=0, "-", BS_CONTROLE[[#This Row],[Responsavel pelo boletim]])</f>
        <v>Tiago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1563</v>
      </c>
    </row>
  </sheetData>
  <protectedRanges>
    <protectedRange sqref="J6:K6 J25:K781" name="Range1_8_1"/>
    <protectedRange sqref="O6:Q6 BA147 O25:Q781" name="Range1_9_1"/>
    <protectedRange sqref="V6:Y6 W24 V84 X84:Y84 V103 X103 V104:X110 Y103:Y110 V25:Y83 V85:Y102 V111:Y781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4 Z175 AB175:AD175 Z185 AB185:AD185 Z186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5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56" operator="equal">
      <formula>"ERRO"</formula>
    </cfRule>
  </conditionalFormatting>
  <conditionalFormatting sqref="X4 Y1:Z781">
    <cfRule type="cellIs" dxfId="120" priority="18545" operator="equal">
      <formula>"OPORTUNIDADE"</formula>
    </cfRule>
  </conditionalFormatting>
  <conditionalFormatting sqref="AZ6:AZ781">
    <cfRule type="expression" dxfId="119" priority="18540">
      <formula>$BU6=1</formula>
    </cfRule>
  </conditionalFormatting>
  <conditionalFormatting sqref="BQ6:BQ781">
    <cfRule type="cellIs" dxfId="118" priority="18551" operator="equal">
      <formula>"Produção e Intervalo"</formula>
    </cfRule>
    <cfRule type="cellIs" dxfId="117" priority="18552" operator="equal">
      <formula>"Aderente"</formula>
    </cfRule>
    <cfRule type="cellIs" dxfId="116" priority="18553" operator="equal">
      <formula>"Intervalo"</formula>
    </cfRule>
    <cfRule type="cellIs" dxfId="115" priority="18554" operator="equal">
      <formula>"Produção"</formula>
    </cfRule>
    <cfRule type="cellIs" dxfId="114" priority="18555" operator="equal">
      <formula>"ERRO"</formula>
    </cfRule>
  </conditionalFormatting>
  <conditionalFormatting sqref="BR6:BS781">
    <cfRule type="cellIs" dxfId="113" priority="18533" operator="equal">
      <formula>"*"</formula>
    </cfRule>
    <cfRule type="cellIs" dxfId="112" priority="18534" operator="greaterThanOrEqual">
      <formula>1</formula>
    </cfRule>
    <cfRule type="cellIs" dxfId="111" priority="18535" operator="lessThan">
      <formula>1</formula>
    </cfRule>
  </conditionalFormatting>
  <conditionalFormatting sqref="Y6:Z781">
    <cfRule type="cellIs" dxfId="110" priority="18481" operator="equal">
      <formula>"NÃO"</formula>
    </cfRule>
    <cfRule type="cellIs" dxfId="109" priority="18482" operator="equal">
      <formula>"SIM"</formula>
    </cfRule>
  </conditionalFormatting>
  <conditionalFormatting sqref="Y1047844:Y1048576">
    <cfRule type="cellIs" dxfId="108" priority="18362" operator="equal">
      <formula>"OPORTUNIDADE"</formula>
    </cfRule>
  </conditionalFormatting>
  <conditionalFormatting sqref="Y1047844:Y1048576">
    <cfRule type="cellIs" dxfId="107" priority="18360" operator="equal">
      <formula>"NÃO"</formula>
    </cfRule>
    <cfRule type="cellIs" dxfId="106" priority="18361" operator="equal">
      <formula>"SIM"</formula>
    </cfRule>
  </conditionalFormatting>
  <conditionalFormatting sqref="BK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1">
    <cfRule type="iconSet" priority="23094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2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88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98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301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303">
      <iconSet showValue="0">
        <cfvo type="percent" val="0"/>
        <cfvo type="num" val="1"/>
        <cfvo type="num" val="1" gte="0"/>
      </iconSet>
    </cfRule>
    <cfRule type="iconSet" priority="2330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1565</v>
      </c>
      <c r="E3" s="186" t="s">
        <v>1566</v>
      </c>
      <c r="F3" s="186" t="s">
        <v>1567</v>
      </c>
      <c r="G3" s="186" t="s">
        <v>1568</v>
      </c>
      <c r="H3" s="186" t="s">
        <v>1569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1571</v>
      </c>
      <c r="D13" s="187">
        <v>9049</v>
      </c>
      <c r="E13" s="188">
        <v>46044</v>
      </c>
      <c r="F13" s="190" t="s">
        <v>1572</v>
      </c>
      <c r="G13" s="187" t="s">
        <v>1573</v>
      </c>
      <c r="H13" s="187"/>
    </row>
    <row r="14" spans="3:8">
      <c r="C14" s="187" t="s">
        <v>1571</v>
      </c>
      <c r="D14" s="187">
        <v>9044</v>
      </c>
      <c r="E14" s="188">
        <v>46044</v>
      </c>
      <c r="F14" s="190" t="s">
        <v>1574</v>
      </c>
      <c r="G14" s="187" t="s">
        <v>1575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1578</v>
      </c>
      <c r="C4" s="191" t="s">
        <v>1579</v>
      </c>
      <c r="D4" s="191" t="s">
        <v>1580</v>
      </c>
      <c r="E4" s="191" t="s">
        <v>1581</v>
      </c>
      <c r="F4" s="191" t="s">
        <v>548</v>
      </c>
      <c r="G4" s="191" t="s">
        <v>1582</v>
      </c>
    </row>
    <row r="5" spans="2:7">
      <c r="B5" s="192" t="s">
        <v>1583</v>
      </c>
      <c r="C5" s="192">
        <v>309525</v>
      </c>
      <c r="D5" s="192" t="s">
        <v>1584</v>
      </c>
      <c r="E5" s="192" t="s">
        <v>249</v>
      </c>
      <c r="F5" s="192" t="s">
        <v>1585</v>
      </c>
      <c r="G5" s="193">
        <v>46296</v>
      </c>
    </row>
    <row r="6" spans="2:7">
      <c r="B6" s="192" t="s">
        <v>1586</v>
      </c>
      <c r="C6" s="192">
        <v>257410</v>
      </c>
      <c r="D6" s="192" t="s">
        <v>1587</v>
      </c>
      <c r="E6" s="192" t="s">
        <v>249</v>
      </c>
      <c r="F6" s="192" t="s">
        <v>1585</v>
      </c>
      <c r="G6" s="193"/>
    </row>
    <row r="7" spans="2:7">
      <c r="B7" s="192" t="s">
        <v>1260</v>
      </c>
      <c r="C7" s="192">
        <v>256875</v>
      </c>
      <c r="D7" s="192" t="s">
        <v>1588</v>
      </c>
      <c r="E7" s="192" t="s">
        <v>249</v>
      </c>
      <c r="F7" s="192" t="s">
        <v>1585</v>
      </c>
      <c r="G7" s="193">
        <v>46296</v>
      </c>
    </row>
    <row r="8" spans="2:7">
      <c r="B8" s="192" t="s">
        <v>1589</v>
      </c>
      <c r="C8" s="192">
        <v>257278</v>
      </c>
      <c r="D8" s="192" t="s">
        <v>1590</v>
      </c>
      <c r="E8" s="192" t="s">
        <v>240</v>
      </c>
      <c r="F8" s="192" t="s">
        <v>1591</v>
      </c>
      <c r="G8" s="193">
        <v>46235</v>
      </c>
    </row>
    <row r="9" spans="2:7">
      <c r="B9" s="192" t="s">
        <v>1592</v>
      </c>
      <c r="C9" s="192">
        <v>257033</v>
      </c>
      <c r="D9" s="192" t="s">
        <v>1593</v>
      </c>
      <c r="E9" s="192" t="s">
        <v>240</v>
      </c>
      <c r="F9" s="192" t="s">
        <v>565</v>
      </c>
      <c r="G9" s="192" t="s">
        <v>1594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1596</v>
      </c>
      <c r="B2" s="91" t="s">
        <v>1597</v>
      </c>
      <c r="C2" s="91" t="s">
        <v>7</v>
      </c>
      <c r="D2" s="92" t="s">
        <v>1176</v>
      </c>
      <c r="E2" s="92" t="s">
        <v>548</v>
      </c>
      <c r="F2" s="92" t="s">
        <v>1598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1599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V48</v>
      </c>
      <c r="H180" s="96" t="str">
        <f>IF(FN_MC!F183="","*",FN_MC!F183)</f>
        <v>MODERNIZAÇÃO - SOCADORA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1500 M</v>
      </c>
      <c r="S180" s="96" t="str">
        <f>IF(FN_MC!V183="","*",FN_MC!V183)</f>
        <v>Augusto/ Efraim</v>
      </c>
      <c r="T180" s="96" t="str">
        <f>IF(FN_MC!W183="","*",FN_MC!W183)</f>
        <v xml:space="preserve">Socaria mecanizada 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0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Oportunidade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V66</v>
      </c>
      <c r="H181" s="96" t="str">
        <f>IF(FN_MC!F184="","*",FN_MC!F184)</f>
        <v>MODERNIZAÇÃO - REGULAGEM</v>
      </c>
      <c r="I181" s="96" t="str">
        <f>IF(FN_MC!H184="","*",FN_MC!H184)</f>
        <v>TID2</v>
      </c>
      <c r="J181" s="96" t="str">
        <f>IF(FN_MC!I184="","*",FN_MC!I184)</f>
        <v>TID2</v>
      </c>
      <c r="K181" s="96" t="str">
        <f>IF(FN_MC!M184="","*",FN_MC!M184)</f>
        <v>TMO-TCE</v>
      </c>
      <c r="L181" s="196" t="str">
        <f>IF(FN_MC!N184="","*",FN_MC!N184)</f>
        <v>155TCE</v>
      </c>
      <c r="M181" s="97">
        <f>IF(FN_MC!J184="","*",FN_MC!J184)</f>
        <v>74</v>
      </c>
      <c r="N181" s="183">
        <f>IF(FN_MC!K184="","*",FN_MC!K184)</f>
        <v>155.19999999999999</v>
      </c>
      <c r="O181" s="183">
        <f>IF(FN_MC!L184="","*",FN_MC!L184)</f>
        <v>158.69999999999999</v>
      </c>
      <c r="P181" s="107">
        <f>IF(FN_MC!O184="","*",FN_MC!O184)</f>
        <v>0.375</v>
      </c>
      <c r="Q181" s="107">
        <f>IF(FN_MC!P184="","*",FN_MC!P184)</f>
        <v>4.1666666666666664E-2</v>
      </c>
      <c r="R181" s="96" t="str">
        <f>IF(FN_MC!Q184="","*",CONCATENATE(FN_MC!Q184," ",FN_MC!R184))</f>
        <v>500 M</v>
      </c>
      <c r="S181" s="96" t="str">
        <f>IF(FN_MC!V184="","*",FN_MC!V184)</f>
        <v>Augusto/ Efraim</v>
      </c>
      <c r="T181" s="96" t="str">
        <f>IF(FN_MC!W184="","*",FN_MC!W184)</f>
        <v>Regulagem de brita</v>
      </c>
      <c r="U181" s="98">
        <f ca="1">_xlfn.XLOOKUP(G181&amp;$U$2,BS_CONTROLE[CHAVE],BS_CONTROLE[Quantidade_11],"-")</f>
        <v>0</v>
      </c>
      <c r="V181" s="98" t="str">
        <f ca="1">_xlfn.XLOOKUP(G181&amp;$V$2,BS_CONTROLE[CHAVE],BS_CONTROLE[Quantidade_11],"-")</f>
        <v>-</v>
      </c>
      <c r="W181" s="98">
        <f ca="1">_xlfn.XLOOKUP(G181&amp;$W$2,BS_CONTROLE[CHAVE],BS_CONTROLE[Quantidade_11],"-")</f>
        <v>0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BRUNO (TF-525)</v>
      </c>
      <c r="H182" s="96" t="str">
        <f>IF(FN_MC!F185="","*",FN_MC!F185)</f>
        <v>PDM - SOLDA</v>
      </c>
      <c r="I182" s="96" t="str">
        <f>IF(FN_MC!H185="","*",FN_MC!H185)</f>
        <v>K97TIN</v>
      </c>
      <c r="J182" s="96" t="str">
        <f>IF(FN_MC!I185="","*",FN_MC!I185)</f>
        <v>-</v>
      </c>
      <c r="K182" s="96" t="str">
        <f>IF(FN_MC!M185="","*",FN_MC!M185)</f>
        <v>TSP-TIN</v>
      </c>
      <c r="L182" s="196" t="str">
        <f>IF(FN_MC!N185="","*",FN_MC!N185)</f>
        <v>K97TIN</v>
      </c>
      <c r="M182" s="97">
        <f>IF(FN_MC!J185="","*",FN_MC!J185)</f>
        <v>74</v>
      </c>
      <c r="N182" s="183">
        <f>IF(FN_MC!K185="","*",FN_MC!K185)</f>
        <v>97.04</v>
      </c>
      <c r="O182" s="183" t="str">
        <f>IF(FN_MC!L185="","*",FN_MC!L185)</f>
        <v>-</v>
      </c>
      <c r="P182" s="107">
        <f>IF(FN_MC!O185="","*",FN_MC!O185)</f>
        <v>0.33333333333333331</v>
      </c>
      <c r="Q182" s="107">
        <f>IF(FN_MC!P185="","*",FN_MC!P185)</f>
        <v>8.3333333333333329E-2</v>
      </c>
      <c r="R182" s="96" t="str">
        <f>IF(FN_MC!Q185="","*",CONCATENATE(FN_MC!Q185," ",FN_MC!R185))</f>
        <v>2 Nº DE SOLDA</v>
      </c>
      <c r="S182" s="96" t="str">
        <f>IF(FN_MC!V185="","*",FN_MC!V185)</f>
        <v>Bruno</v>
      </c>
      <c r="T182" s="96" t="str">
        <f>IF(FN_MC!W185="","*",FN_MC!W185)</f>
        <v>Execução de solda - condicionado a temperatura + 12m de trilho</v>
      </c>
      <c r="U182" s="98">
        <f ca="1">_xlfn.XLOOKUP(G182&amp;$U$2,BS_CONTROLE[CHAVE],BS_CONTROLE[Quantidade_11],"-")</f>
        <v>0</v>
      </c>
      <c r="V182" s="98">
        <f ca="1">_xlfn.XLOOKUP(G182&amp;$V$2,BS_CONTROLE[CHAVE],BS_CONTROLE[Quantidade_11],"-")</f>
        <v>0</v>
      </c>
      <c r="W182" s="98">
        <f ca="1">_xlfn.XLOOKUP(G182&amp;$W$2,BS_CONTROLE[CHAVE],BS_CONTROLE[Quantidade_11],"-")</f>
        <v>2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MALHA CENTRAL</v>
      </c>
      <c r="E183" s="96" t="str">
        <f>IF(FN_MC!T186="","*",FN_MC!T186)</f>
        <v>RAMAL</v>
      </c>
      <c r="F183" s="96">
        <f>IF(FN_MC!B186="","*",FN_MC!B186)</f>
        <v>46094</v>
      </c>
      <c r="G183" s="96" t="str">
        <f>IF(FN_MC!D186="","*",FN_MC!D186)</f>
        <v>E18</v>
      </c>
      <c r="H183" s="96" t="str">
        <f>IF(FN_MC!F186="","*",FN_MC!F186)</f>
        <v>CAMINHÃO DE SOLDA</v>
      </c>
      <c r="I183" s="96" t="str">
        <f>IF(FN_MC!H186="","*",FN_MC!H186)</f>
        <v>ZIQZQY</v>
      </c>
      <c r="J183" s="96" t="str">
        <f>IF(FN_MC!I186="","*",FN_MC!I186)</f>
        <v>ZIQZQY</v>
      </c>
      <c r="K183" s="96" t="str">
        <f>IF(FN_MC!M186="","*",FN_MC!M186)</f>
        <v>ZIQ-ZQY</v>
      </c>
      <c r="L183" s="196" t="str">
        <f>IF(FN_MC!N186="","*",FN_MC!N186)</f>
        <v>ZIQZQY</v>
      </c>
      <c r="M183" s="97">
        <f>IF(FN_MC!J186="","*",FN_MC!J186)</f>
        <v>78</v>
      </c>
      <c r="N183" s="183">
        <f>IF(FN_MC!K186="","*",FN_MC!K186)</f>
        <v>178.35</v>
      </c>
      <c r="O183" s="183" t="str">
        <f>IF(FN_MC!L186="","*",FN_MC!L186)</f>
        <v>-</v>
      </c>
      <c r="P183" s="107">
        <f>IF(FN_MC!O186="","*",FN_MC!O186)</f>
        <v>0.35416666666666669</v>
      </c>
      <c r="Q183" s="107">
        <f>IF(FN_MC!P186="","*",FN_MC!P186)</f>
        <v>0.125</v>
      </c>
      <c r="R183" s="96" t="str">
        <f>IF(FN_MC!Q186="","*",CONCATENATE(FN_MC!Q186," ",FN_MC!R186))</f>
        <v>3 Nº DE SOLDA</v>
      </c>
      <c r="S183" s="96" t="str">
        <f>IF(FN_MC!V186="","*",FN_MC!V186)</f>
        <v>Tiago</v>
      </c>
      <c r="T183" s="96" t="str">
        <f>IF(FN_MC!W186="","*",FN_MC!W186)</f>
        <v>Caminhão de solda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0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1600</v>
      </c>
      <c r="D5" s="247"/>
      <c r="E5" s="247"/>
      <c r="F5" s="247"/>
      <c r="G5" s="247"/>
      <c r="H5" s="247"/>
      <c r="I5" s="247"/>
      <c r="J5" s="248"/>
      <c r="K5" s="249" t="s">
        <v>1601</v>
      </c>
      <c r="L5" s="250"/>
      <c r="M5" s="250"/>
      <c r="N5" s="250"/>
      <c r="O5" s="251" t="s">
        <v>1602</v>
      </c>
      <c r="P5" s="252"/>
      <c r="Q5" s="253"/>
    </row>
    <row r="6" spans="1:17" s="81" customFormat="1" ht="15.75" customHeight="1">
      <c r="A6" s="75" t="s">
        <v>1598</v>
      </c>
      <c r="B6" s="82" t="s">
        <v>1597</v>
      </c>
      <c r="C6" s="83" t="s">
        <v>1176</v>
      </c>
      <c r="D6" s="84" t="s">
        <v>1177</v>
      </c>
      <c r="E6" s="83" t="s">
        <v>1603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1604</v>
      </c>
      <c r="M6" s="116" t="s">
        <v>29</v>
      </c>
      <c r="N6" s="117" t="s">
        <v>1171</v>
      </c>
      <c r="O6" s="165" t="s">
        <v>1214</v>
      </c>
      <c r="P6" s="128"/>
      <c r="Q6" s="139" t="s">
        <v>1605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1</v>
      </c>
      <c r="P191" s="78"/>
      <c r="Q191" s="120" t="str">
        <f>IF($A$2=1,IF(FN_MC!BJ170="","*",FN_MC!BJ170),IF(FN_MC!BK170="","*",FN_MC!BK170))</f>
        <v>MC1 as 10:27h - Em deslocamento para o local da descarga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IF(FN_MC!B183="","*",FN_MC!B183)</f>
        <v>46094</v>
      </c>
      <c r="B203" s="86" t="str">
        <f>IF(FN_MC!X183="","*",FN_MC!X183)</f>
        <v>Contrato</v>
      </c>
      <c r="C203" s="87" t="str">
        <f>IF(FN_MC!S183="","*",FN_MC!S183)</f>
        <v>FERRONORTE</v>
      </c>
      <c r="D203" s="87" t="str">
        <f>IF(FN_MC!T183="","*",FN_MC!T183)</f>
        <v>TMI-TCS</v>
      </c>
      <c r="E203" s="87" t="str">
        <f>IF(FN_MC!D183="","*",FN_MC!D183)</f>
        <v>V48</v>
      </c>
      <c r="F203" s="87" t="str">
        <f>IF(FN_MC!H183="","*",FN_MC!H183)</f>
        <v>TVI2</v>
      </c>
      <c r="G203" s="87" t="str">
        <f>IF(FN_MC!M183="","*",FN_MC!M183)</f>
        <v>TVI-TJA</v>
      </c>
      <c r="H203" s="125">
        <f>IF(FN_MC!K183="","*",FN_MC!K183)</f>
        <v>243.5</v>
      </c>
      <c r="I203" s="110">
        <f>IF(FN_MC!O183="","*",FN_MC!O183)</f>
        <v>0.375</v>
      </c>
      <c r="J203" s="110">
        <f>IF(FN_MC!P183="","*",FN_MC!P183)</f>
        <v>0.16666666666666666</v>
      </c>
      <c r="K203" s="118" t="str">
        <f>IF(FN_MC!AK183="","*",FN_MC!AK183)</f>
        <v>TVI2</v>
      </c>
      <c r="L203" s="118" t="str">
        <f>IF(FN_MC!AM183="","*",FN_MC!AM183)</f>
        <v>TVI-TJA</v>
      </c>
      <c r="M203" s="118">
        <f>IF(FN_MC!AP183="","*",FN_MC!AP183)</f>
        <v>243.5</v>
      </c>
      <c r="N203" s="118" t="str">
        <f>IF(FN_MC!AM183="","*",FN_MC!AM183)</f>
        <v>TVI-TJA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>
        <f>IF(FN_MC!B184="","*",FN_MC!B184)</f>
        <v>46094</v>
      </c>
      <c r="B204" s="86" t="str">
        <f>IF(FN_MC!X184="","*",FN_MC!X184)</f>
        <v>Oportunidade</v>
      </c>
      <c r="C204" s="87" t="str">
        <f>IF(FN_MC!S184="","*",FN_MC!S184)</f>
        <v>FERRONORTE</v>
      </c>
      <c r="D204" s="87" t="str">
        <f>IF(FN_MC!T184="","*",FN_MC!T184)</f>
        <v>TMI-TCS</v>
      </c>
      <c r="E204" s="87" t="str">
        <f>IF(FN_MC!D184="","*",FN_MC!D184)</f>
        <v>V66</v>
      </c>
      <c r="F204" s="87" t="str">
        <f>IF(FN_MC!H184="","*",FN_MC!H184)</f>
        <v>TID2</v>
      </c>
      <c r="G204" s="87" t="str">
        <f>IF(FN_MC!M184="","*",FN_MC!M184)</f>
        <v>TMO-TCE</v>
      </c>
      <c r="H204" s="125">
        <f>IF(FN_MC!K184="","*",FN_MC!K184)</f>
        <v>155.19999999999999</v>
      </c>
      <c r="I204" s="110">
        <f>IF(FN_MC!O184="","*",FN_MC!O184)</f>
        <v>0.375</v>
      </c>
      <c r="J204" s="110">
        <f>IF(FN_MC!P184="","*",FN_MC!P184)</f>
        <v>4.1666666666666664E-2</v>
      </c>
      <c r="K204" s="118" t="str">
        <f>IF(FN_MC!AK184="","*",FN_MC!AK184)</f>
        <v>TID2</v>
      </c>
      <c r="L204" s="118" t="str">
        <f>IF(FN_MC!AM184="","*",FN_MC!AM184)</f>
        <v>TMO-TCE</v>
      </c>
      <c r="M204" s="118">
        <f>IF(FN_MC!AP184="","*",FN_MC!AP184)</f>
        <v>155.19999999999999</v>
      </c>
      <c r="N204" s="118" t="str">
        <f>IF(FN_MC!AM184="","*",FN_MC!AM184)</f>
        <v>TMO-TCE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>
        <f>IF(FN_MC!B185="","*",FN_MC!B185)</f>
        <v>46094</v>
      </c>
      <c r="B205" s="86" t="str">
        <f>IF(FN_MC!X185="","*",FN_MC!X185)</f>
        <v>Oportunidade</v>
      </c>
      <c r="C205" s="87" t="str">
        <f>IF(FN_MC!S185="","*",FN_MC!S185)</f>
        <v>FERRONORTE</v>
      </c>
      <c r="D205" s="87" t="str">
        <f>IF(FN_MC!T185="","*",FN_MC!T185)</f>
        <v>TMI-TCS</v>
      </c>
      <c r="E205" s="87" t="str">
        <f>IF(FN_MC!D185="","*",FN_MC!D185)</f>
        <v>BRUNO (TF-525)</v>
      </c>
      <c r="F205" s="87" t="str">
        <f>IF(FN_MC!H185="","*",FN_MC!H185)</f>
        <v>K97TIN</v>
      </c>
      <c r="G205" s="87" t="str">
        <f>IF(FN_MC!M185="","*",FN_MC!M185)</f>
        <v>TSP-TIN</v>
      </c>
      <c r="H205" s="125">
        <f>IF(FN_MC!K185="","*",FN_MC!K185)</f>
        <v>97.04</v>
      </c>
      <c r="I205" s="110">
        <f>IF(FN_MC!O185="","*",FN_MC!O185)</f>
        <v>0.33333333333333331</v>
      </c>
      <c r="J205" s="110">
        <f>IF(FN_MC!P185="","*",FN_MC!P185)</f>
        <v>8.3333333333333329E-2</v>
      </c>
      <c r="K205" s="118" t="str">
        <f>IF(FN_MC!AK185="","*",FN_MC!AK185)</f>
        <v>K97TIN</v>
      </c>
      <c r="L205" s="118" t="str">
        <f>IF(FN_MC!AM185="","*",FN_MC!AM185)</f>
        <v>TSP-TIN</v>
      </c>
      <c r="M205" s="118">
        <f>IF(FN_MC!AP185="","*",FN_MC!AP185)</f>
        <v>97.04</v>
      </c>
      <c r="N205" s="118" t="str">
        <f>IF(FN_MC!AM185="","*",FN_MC!AM185)</f>
        <v>TSP-TIN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>
        <f>IF(FN_MC!B186="","*",FN_MC!B186)</f>
        <v>46094</v>
      </c>
      <c r="B206" s="86" t="str">
        <f>IF(FN_MC!X186="","*",FN_MC!X186)</f>
        <v>Oportunidade</v>
      </c>
      <c r="C206" s="87" t="str">
        <f>IF(FN_MC!S186="","*",FN_MC!S186)</f>
        <v>MALHA CENTRAL</v>
      </c>
      <c r="D206" s="87" t="str">
        <f>IF(FN_MC!T186="","*",FN_MC!T186)</f>
        <v>RAMAL</v>
      </c>
      <c r="E206" s="87" t="str">
        <f>IF(FN_MC!D186="","*",FN_MC!D186)</f>
        <v>E18</v>
      </c>
      <c r="F206" s="87" t="str">
        <f>IF(FN_MC!H186="","*",FN_MC!H186)</f>
        <v>ZIQZQY</v>
      </c>
      <c r="G206" s="87" t="str">
        <f>IF(FN_MC!M186="","*",FN_MC!M186)</f>
        <v>ZIQ-ZQY</v>
      </c>
      <c r="H206" s="125">
        <f>IF(FN_MC!K186="","*",FN_MC!K186)</f>
        <v>178.35</v>
      </c>
      <c r="I206" s="110">
        <f>IF(FN_MC!O186="","*",FN_MC!O186)</f>
        <v>0.35416666666666669</v>
      </c>
      <c r="J206" s="110">
        <f>IF(FN_MC!P186="","*",FN_MC!P186)</f>
        <v>0.125</v>
      </c>
      <c r="K206" s="118" t="str">
        <f>IF(FN_MC!AK186="","*",FN_MC!AK186)</f>
        <v>ZIQZQY</v>
      </c>
      <c r="L206" s="118" t="str">
        <f>IF(FN_MC!AM186="","*",FN_MC!AM186)</f>
        <v>ZIQ-ZQY</v>
      </c>
      <c r="M206" s="118">
        <f>IF(FN_MC!AP186="","*",FN_MC!AP186)</f>
        <v>178.35</v>
      </c>
      <c r="N206" s="118" t="str">
        <f>IF(FN_MC!AM186="","*",FN_MC!AM186)</f>
        <v>ZIQ-ZQY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1606</v>
      </c>
      <c r="C2" s="83" t="s">
        <v>1161</v>
      </c>
      <c r="D2" s="83" t="s">
        <v>1163</v>
      </c>
      <c r="E2" s="83" t="s">
        <v>1607</v>
      </c>
      <c r="F2" s="83" t="s">
        <v>1608</v>
      </c>
      <c r="G2" s="83" t="s">
        <v>1609</v>
      </c>
      <c r="H2" s="83" t="s">
        <v>1610</v>
      </c>
      <c r="I2" s="83" t="s">
        <v>1611</v>
      </c>
      <c r="J2" s="83" t="s">
        <v>1612</v>
      </c>
      <c r="K2" s="109" t="s">
        <v>1613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IF(FN_MC!Y183="","*",FN_MC!Y183)</f>
        <v>*</v>
      </c>
      <c r="C199" s="101">
        <f>IF(FN_MC!B183="","*",FN_MC!B183)</f>
        <v>46094</v>
      </c>
      <c r="D199" s="101" t="str">
        <f>IF(FN_MC!D183="","*",FN_MC!D183)</f>
        <v>V48</v>
      </c>
      <c r="E199" s="101" t="str">
        <f>IF(FN_MC!H183="","*",FN_MC!H183)</f>
        <v>TVI2</v>
      </c>
      <c r="F199" s="114" t="str">
        <f>IF(FN_MC!M183="","*",FN_MC!M183)</f>
        <v>TVI-TJA</v>
      </c>
      <c r="G199" s="101" t="str">
        <f>IF(FN_MC!I183="","*",FN_MC!I183)</f>
        <v>TVI2</v>
      </c>
      <c r="H199" s="101" t="str">
        <f>IF(FN_MC!AB183="","*",FN_MC!AB183)</f>
        <v>FIXO</v>
      </c>
      <c r="I199" s="101" t="str">
        <f>IF(FN_MC!AC183="","*",FN_MC!AC183)</f>
        <v>ACIONAMENTO</v>
      </c>
      <c r="J199" s="102">
        <f>IF(FN_MC!AA183="","*",FN_MC!AA183)</f>
        <v>1</v>
      </c>
      <c r="K199" s="112">
        <f>IF(FN_MC!AD183="","*",FN_MC!AD183)</f>
        <v>0.29166666666666669</v>
      </c>
    </row>
    <row r="200" spans="2:11" hidden="1">
      <c r="B200" s="100" t="str">
        <f>IF(FN_MC!Y184="","*",FN_MC!Y184)</f>
        <v>*</v>
      </c>
      <c r="C200" s="101">
        <f>IF(FN_MC!B184="","*",FN_MC!B184)</f>
        <v>46094</v>
      </c>
      <c r="D200" s="101" t="str">
        <f>IF(FN_MC!D184="","*",FN_MC!D184)</f>
        <v>V66</v>
      </c>
      <c r="E200" s="101" t="str">
        <f>IF(FN_MC!H184="","*",FN_MC!H184)</f>
        <v>TID2</v>
      </c>
      <c r="F200" s="114" t="str">
        <f>IF(FN_MC!M184="","*",FN_MC!M184)</f>
        <v>TMO-TCE</v>
      </c>
      <c r="G200" s="101" t="str">
        <f>IF(FN_MC!I184="","*",FN_MC!I184)</f>
        <v>TID2</v>
      </c>
      <c r="H200" s="101" t="str">
        <f>IF(FN_MC!AB184="","*",FN_MC!AB184)</f>
        <v>FIXO</v>
      </c>
      <c r="I200" s="101" t="str">
        <f>IF(FN_MC!AC184="","*",FN_MC!AC184)</f>
        <v>ACIONAMENTO</v>
      </c>
      <c r="J200" s="102">
        <f>IF(FN_MC!AA184="","*",FN_MC!AA184)</f>
        <v>1</v>
      </c>
      <c r="K200" s="112">
        <f>IF(FN_MC!AD184="","*",FN_MC!AD184)</f>
        <v>0.29166666666666669</v>
      </c>
    </row>
    <row r="201" spans="2:11" hidden="1">
      <c r="B201" s="100" t="str">
        <f>IF(FN_MC!Y185="","*",FN_MC!Y185)</f>
        <v>*</v>
      </c>
      <c r="C201" s="101">
        <f>IF(FN_MC!B185="","*",FN_MC!B185)</f>
        <v>46094</v>
      </c>
      <c r="D201" s="101" t="str">
        <f>IF(FN_MC!D185="","*",FN_MC!D185)</f>
        <v>BRUNO (TF-525)</v>
      </c>
      <c r="E201" s="101" t="str">
        <f>IF(FN_MC!H185="","*",FN_MC!H185)</f>
        <v>K97TIN</v>
      </c>
      <c r="F201" s="114" t="str">
        <f>IF(FN_MC!M185="","*",FN_MC!M185)</f>
        <v>TSP-TIN</v>
      </c>
      <c r="G201" s="101" t="str">
        <f>IF(FN_MC!I185="","*",FN_MC!I185)</f>
        <v>-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-</v>
      </c>
      <c r="K201" s="112" t="str">
        <f>IF(FN_MC!AD185="","*",FN_MC!AD185)</f>
        <v>-</v>
      </c>
    </row>
    <row r="202" spans="2:11" hidden="1">
      <c r="B202" s="100" t="str">
        <f>IF(FN_MC!Y186="","*",FN_MC!Y186)</f>
        <v>*</v>
      </c>
      <c r="C202" s="101">
        <f>IF(FN_MC!B186="","*",FN_MC!B186)</f>
        <v>46094</v>
      </c>
      <c r="D202" s="101" t="str">
        <f>IF(FN_MC!D186="","*",FN_MC!D186)</f>
        <v>E18</v>
      </c>
      <c r="E202" s="101" t="str">
        <f>IF(FN_MC!H186="","*",FN_MC!H186)</f>
        <v>ZIQZQY</v>
      </c>
      <c r="F202" s="114" t="str">
        <f>IF(FN_MC!M186="","*",FN_MC!M186)</f>
        <v>ZIQ-ZQY</v>
      </c>
      <c r="G202" s="101" t="str">
        <f>IF(FN_MC!I186="","*",FN_MC!I186)</f>
        <v>ZIQZQY</v>
      </c>
      <c r="H202" s="101" t="str">
        <f>IF(FN_MC!AB186="","*",FN_MC!AB186)</f>
        <v>FIXO</v>
      </c>
      <c r="I202" s="101" t="str">
        <f>IF(FN_MC!AC186="","*",FN_MC!AC186)</f>
        <v>ACIONAMENTO</v>
      </c>
      <c r="J202" s="102">
        <f>IF(FN_MC!AA186="","*",FN_MC!AA186)</f>
        <v>1</v>
      </c>
      <c r="K202" s="112">
        <f>IF(FN_MC!AD186="","*",FN_MC!AD186)</f>
        <v>0.29166666666666669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2026-03-12T16:48:43Z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