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751" documentId="120_S{118792C3-22EF-5104-A093-F22BFE3913F3}" xr6:coauthVersionLast="47" xr6:coauthVersionMax="47" xr10:uidLastSave="{FADDC070-ED69-44BD-B6B3-10218D26A6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0" i="1" l="1" a="1"/>
  <c r="N210" i="1" s="1"/>
  <c r="M210" i="1" a="1"/>
  <c r="M210" i="1" s="1"/>
  <c r="M209" i="1" a="1"/>
  <c r="M209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K205" i="11"/>
  <c r="K206" i="11"/>
  <c r="K207" i="1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L205" i="11"/>
  <c r="L206" i="11"/>
  <c r="L207" i="1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<sst xmlns="http://schemas.openxmlformats.org/spreadsheetml/2006/main" count="6961" uniqueCount="1500">
  <si>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</si>
  <si>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</si>
  <si>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</si>
  <si>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</si>
  <si>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</si>
  <si>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</si>
  <si>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</si>
  <si>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</si>
  <si>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</si>
  <si>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</si>
  <si>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</si>
  <si>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</si>
  <si>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</si>
  <si>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</si>
  <si>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</si>
  <si>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</si>
  <si>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</si>
  <si>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</si>
  <si>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</si>
  <si>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</si>
  <si>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</si>
  <si>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</si>
  <si>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</si>
  <si>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</si>
  <si>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</si>
  <si>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</si>
  <si>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</si>
  <si>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</si>
  <si>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</si>
  <si>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</si>
  <si>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</si>
  <si>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</si>
  <si>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</si>
  <si>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</si>
  <si>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</si>
  <si>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</si>
  <si>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</si>
  <si>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</si>
  <si>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</si>
  <si>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</si>
  <si>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</si>
  <si>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</si>
  <si>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</si>
  <si>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</si>
  <si>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</si>
  <si>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</si>
  <si>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</si>
  <si>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</si>
  <si>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</si>
  <si>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</si>
  <si>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</si>
  <si>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</si>
  <si>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</si>
  <si>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</si>
  <si>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</si>
  <si>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</si>
  <si>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</si>
  <si>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</si>
  <si>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</si>
  <si>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</si>
  <si>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</si>
  <si>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</si>
  <si>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</si>
  <si>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</si>
  <si>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</si>
  <si>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</si>
  <si>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</si>
  <si>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</si>
  <si>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</si>
  <si>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</si>
  <si>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</si>
  <si>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</si>
  <si>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</si>
  <si>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</si>
  <si>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</si>
  <si>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</si>
  <si>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</si>
  <si>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</si>
  <si>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</si>
  <si>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</si>
  <si>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</si>
  <si>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</si>
  <si>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</si>
  <si>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</si>
  <si>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</si>
  <si>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</si>
  <si>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</si>
  <si>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</si>
  <si>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</si>
  <si>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</si>
  <si>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</si>
  <si>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</si>
  <si>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</si>
  <si>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</si>
  <si>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</si>
  <si>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</si>
  <si>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</si>
  <si>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</si>
  <si>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</si>
  <si>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</si>
  <si>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</si>
  <si>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</si>
  <si>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</si>
  <si>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</si>
  <si>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</si>
  <si>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</si>
  <si>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</si>
  <si>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</si>
  <si>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</si>
  <si>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</si>
  <si>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</si>
  <si>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</si>
  <si>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</si>
  <si>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</si>
  <si>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</si>
  <si>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</si>
  <si>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</si>
  <si>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</si>
  <si>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</si>
  <si>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</si>
  <si>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</si>
  <si>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</si>
  <si>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</si>
  <si>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</si>
  <si>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</si>
  <si>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</si>
  <si>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</si>
  <si>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</si>
  <si>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</si>
  <si>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</si>
  <si>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</si>
  <si>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</si>
  <si>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</si>
  <si>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</si>
  <si>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</si>
  <si>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</si>
  <si>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</si>
  <si>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</si>
  <si>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</si>
  <si>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</si>
  <si>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</si>
  <si>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</si>
  <si>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</si>
  <si>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</si>
  <si>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</si>
  <si>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</si>
  <si>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</si>
  <si>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</si>
  <si>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</si>
  <si>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</si>
  <si>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</si>
  <si>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</si>
  <si>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</si>
  <si>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</si>
  <si>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</si>
  <si>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</si>
  <si>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</si>
  <si>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</si>
  <si>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</si>
  <si>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</si>
  <si>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</si>
  <si>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</si>
  <si>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</si>
  <si>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</si>
  <si>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</si>
  <si>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</si>
  <si>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</si>
  <si>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</si>
  <si>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</si>
  <si>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</si>
  <si>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</si>
  <si>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</si>
  <si>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</si>
  <si>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</si>
  <si>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</si>
  <si>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</si>
  <si>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</si>
  <si>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</si>
  <si>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</si>
  <si>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</si>
  <si>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</si>
  <si>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</si>
  <si>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</si>
  <si>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</si>
  <si>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</si>
  <si>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</si>
  <si>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</si>
  <si>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</si>
  <si>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</si>
  <si>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</si>
  <si>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</si>
  <si>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</si>
  <si>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</si>
  <si>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</si>
  <si>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</si>
  <si>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</si>
  <si>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</si>
  <si>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</si>
  <si>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</si>
  <si>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</si>
  <si>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</si>
  <si>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</si>
  <si>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</si>
  <si>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</si>
  <si>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</si>
  <si>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</si>
  <si>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</si>
  <si>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</si>
  <si>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</si>
  <si>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</si>
  <si>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</si>
  <si>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</si>
  <si>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</si>
  <si>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</si>
  <si>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</si>
  <si>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</si>
  <si>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</si>
  <si>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</si>
  <si>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</si>
  <si>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</si>
  <si>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</si>
  <si>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</si>
  <si>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</si>
  <si>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</si>
  <si>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</si>
  <si>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</si>
  <si>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</si>
  <si>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</si>
  <si>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</si>
  <si>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</si>
  <si>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</si>
  <si>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</si>
  <si>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</si>
  <si>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</si>
  <si>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</si>
  <si>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</si>
  <si>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</si>
  <si>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</si>
  <si>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</si>
  <si>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</si>
  <si>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</si>
  <si>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</si>
  <si>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</si>
  <si>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</si>
  <si>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</si>
  <si>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</si>
  <si>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</si>
  <si>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</si>
  <si>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</si>
  <si>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</si>
  <si>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</si>
  <si>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</si>
  <si>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</si>
  <si>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</si>
  <si>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</si>
  <si>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</si>
  <si>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</si>
  <si>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</si>
  <si>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</si>
  <si>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</si>
  <si>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</si>
  <si>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</si>
  <si>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</si>
  <si>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</si>
  <si>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</si>
  <si>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</si>
  <si>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</si>
  <si>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</si>
  <si>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</si>
  <si>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</si>
  <si>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</si>
  <si>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</si>
  <si>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</si>
  <si>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</si>
  <si>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</si>
  <si>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</si>
  <si>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</si>
  <si>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</si>
  <si>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</si>
  <si>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</si>
  <si>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</si>
  <si>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</si>
  <si>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</si>
  <si>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</si>
  <si>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</si>
  <si>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</si>
  <si>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</si>
  <si>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</si>
  <si>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</si>
  <si>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</si>
  <si>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</si>
  <si>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</si>
  <si>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</si>
  <si>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</si>
  <si>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</si>
  <si>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</si>
  <si>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</si>
  <si>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</si>
  <si>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</si>
  <si>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</si>
  <si>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</si>
  <si>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</si>
  <si>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</si>
  <si>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</si>
  <si>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</si>
  <si>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</si>
  <si>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</si>
  <si>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</si>
  <si>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</si>
  <si>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</si>
  <si>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</si>
  <si>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</si>
  <si>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</si>
  <si>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</si>
  <si>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</si>
  <si>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</si>
  <si>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</si>
  <si>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</si>
  <si>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</si>
  <si>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</si>
  <si>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</si>
  <si>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</si>
  <si>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</si>
  <si>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</si>
  <si>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</si>
  <si>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</si>
  <si>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</si>
  <si>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</si>
  <si>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</si>
  <si>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</si>
  <si>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</si>
  <si>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</si>
  <si>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</si>
  <si>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</si>
  <si>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</si>
  <si>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</si>
  <si>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</si>
  <si>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</si>
  <si>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</si>
  <si>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</si>
  <si>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</si>
  <si>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</si>
  <si>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</si>
  <si>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</si>
  <si>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</si>
  <si>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</si>
  <si>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</si>
  <si>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</si>
  <si>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</si>
  <si>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</si>
  <si>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</si>
  <si>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</si>
  <si>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</si>
  <si>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</si>
  <si>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</si>
  <si>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</si>
  <si>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</si>
  <si>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</si>
  <si>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</si>
  <si>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</si>
  <si>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</si>
  <si>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</si>
  <si>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</si>
  <si>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</si>
  <si>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</si>
  <si>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</si>
  <si>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</si>
  <si>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</si>
  <si>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</si>
  <si>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</si>
  <si>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</si>
  <si>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</si>
  <si>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</si>
  <si>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</si>
  <si>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</si>
  <si>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</si>
  <si>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</si>
  <si>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</si>
  <si>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</si>
  <si>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</si>
  <si>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</si>
  <si>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</si>
  <si>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</si>
  <si>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</si>
  <si>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</si>
  <si>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</si>
  <si>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</si>
  <si>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</si>
  <si>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</si>
  <si>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</si>
  <si>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</si>
  <si>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</si>
  <si>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</si>
  <si>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</si>
  <si>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</si>
  <si>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</si>
  <si>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</si>
  <si>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</si>
  <si>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</si>
  <si>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</si>
  <si>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</si>
  <si>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</si>
  <si>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</si>
  <si>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</si>
  <si>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</si>
  <si>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</si>
  <si>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</si>
  <si>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</si>
  <si>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</si>
  <si>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</si>
  <si>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</si>
  <si>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</si>
  <si>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</si>
  <si>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</si>
  <si>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</si>
  <si>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</si>
  <si>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</si>
  <si>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</si>
  <si>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</si>
  <si>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</si>
  <si>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</si>
  <si>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</si>
  <si>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</si>
  <si>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</si>
  <si>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</si>
  <si>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</si>
  <si>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</si>
  <si>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</si>
  <si>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</si>
  <si>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</si>
  <si>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</si>
  <si>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</si>
  <si>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</si>
  <si>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</si>
  <si>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</si>
  <si>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</si>
  <si>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</si>
  <si>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</si>
  <si>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</si>
  <si>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</si>
  <si>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</si>
  <si>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</si>
  <si>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</si>
  <si>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</si>
  <si>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</si>
  <si>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</si>
  <si>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</si>
  <si>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</si>
  <si>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</si>
  <si>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</si>
  <si>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</si>
  <si>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</si>
  <si>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</si>
  <si>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</si>
  <si>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</si>
  <si>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</si>
  <si>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</si>
  <si>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</si>
  <si>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</si>
  <si>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</si>
  <si>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</si>
  <si>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</si>
  <si>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</si>
  <si>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</si>
  <si>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</si>
  <si>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</si>
  <si>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</si>
  <si>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</si>
  <si>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</si>
  <si>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</si>
  <si>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</si>
  <si>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</si>
  <si>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</si>
  <si>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</si>
  <si>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</si>
  <si>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</si>
  <si>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</si>
  <si>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</si>
  <si>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</si>
  <si>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</si>
  <si>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</si>
  <si>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</si>
  <si>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</si>
  <si>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</si>
  <si>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</si>
  <si>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</si>
  <si>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</si>
  <si>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</si>
  <si>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</si>
  <si>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</si>
  <si>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</si>
  <si>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</si>
  <si>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</si>
  <si>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</si>
  <si>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</si>
  <si>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</si>
  <si>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</si>
  <si>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</si>
  <si>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</si>
  <si>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</si>
  <si>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</si>
  <si>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</si>
  <si>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</si>
  <si>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</si>
  <si>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</si>
  <si>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</si>
  <si>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</si>
  <si>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</si>
  <si>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</si>
  <si>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</si>
  <si>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</si>
  <si>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</si>
  <si>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</si>
  <si>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</si>
  <si>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</si>
  <si>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</si>
  <si>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</si>
  <si>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</si>
  <si>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</si>
  <si>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</si>
  <si>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</si>
  <si>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</si>
  <si>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</si>
  <si>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</si>
  <si>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</si>
  <si>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</si>
  <si>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</si>
  <si>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</si>
  <si>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</si>
  <si>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</si>
  <si>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</si>
  <si>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</si>
  <si>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</si>
  <si>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</si>
  <si>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</si>
  <si>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</si>
  <si>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</si>
  <si>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</si>
  <si>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</si>
  <si>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</si>
  <si>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</si>
  <si>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</si>
  <si>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</si>
  <si>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</si>
  <si>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</si>
  <si>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</si>
  <si>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</si>
  <si>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</si>
  <si>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</si>
  <si>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</si>
  <si>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</si>
  <si>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</si>
  <si>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</si>
  <si>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</si>
  <si>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</si>
  <si>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</si>
  <si>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</si>
  <si>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</si>
  <si>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</si>
  <si>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</si>
  <si>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</si>
  <si>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</si>
  <si>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</si>
  <si>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</si>
  <si>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</si>
  <si>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</si>
  <si>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</si>
  <si>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</si>
  <si>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</si>
  <si>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</si>
  <si>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</si>
  <si>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</si>
  <si>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</si>
  <si>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</si>
  <si>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</si>
  <si>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</si>
  <si>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</si>
  <si>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</si>
  <si>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</si>
  <si>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</si>
  <si>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</si>
  <si>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</si>
  <si>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</si>
  <si>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</si>
  <si>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</si>
  <si>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</si>
  <si>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</si>
  <si>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</si>
  <si>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</si>
  <si>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</si>
  <si>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</si>
  <si>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</si>
  <si>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</si>
  <si>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</si>
  <si>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</si>
  <si>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</si>
  <si>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</si>
  <si>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</si>
  <si>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</si>
  <si>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</si>
  <si>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</si>
  <si>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</si>
  <si>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</si>
  <si>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</si>
  <si>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</si>
  <si>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</si>
  <si>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</si>
  <si>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</si>
  <si>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</si>
  <si>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</si>
  <si>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</si>
  <si>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</si>
  <si>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</si>
  <si>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</si>
  <si>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</si>
  <si>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</si>
  <si>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</si>
  <si>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</si>
  <si>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</si>
  <si>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</si>
  <si>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</si>
  <si>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</si>
  <si>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</si>
  <si>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</si>
  <si>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</si>
  <si>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</si>
  <si>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</si>
  <si>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</si>
  <si>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</si>
  <si>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</si>
  <si>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</si>
  <si>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</si>
  <si>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</si>
  <si>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</si>
  <si>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</si>
  <si>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</si>
  <si>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</si>
  <si>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</si>
  <si>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</si>
  <si>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</si>
  <si>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</si>
  <si>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</si>
  <si>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</si>
  <si>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</si>
  <si>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</si>
  <si>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</si>
  <si>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</si>
  <si>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</si>
  <si>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</si>
  <si>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</si>
  <si>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</si>
  <si>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</si>
  <si>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</si>
  <si>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</si>
  <si>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</si>
  <si>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</si>
  <si>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</si>
  <si>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</si>
  <si>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</si>
  <si>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</si>
  <si>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</si>
  <si>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</si>
  <si>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</si>
  <si>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</si>
  <si>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</si>
  <si>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</si>
  <si>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</si>
  <si>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</si>
  <si>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</si>
  <si>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</si>
  <si>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</si>
  <si>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</si>
  <si>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</si>
  <si>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</si>
  <si>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</si>
  <si>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</si>
  <si>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</si>
  <si>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</si>
  <si>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</si>
  <si>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</si>
  <si>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</si>
  <si>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</si>
  <si>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</si>
  <si>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</si>
  <si>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</si>
  <si>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</si>
  <si>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</si>
  <si>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</si>
  <si>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</si>
  <si>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</si>
  <si>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</si>
  <si>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</si>
  <si>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</si>
  <si>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</si>
  <si>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</si>
  <si>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</si>
  <si>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</si>
  <si>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</si>
  <si>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</si>
  <si>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</si>
  <si>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</si>
  <si>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</si>
  <si>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</si>
  <si>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</si>
  <si>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</si>
  <si>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</si>
  <si>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</si>
  <si>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</si>
  <si>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</si>
  <si>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</si>
  <si>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</si>
  <si>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</si>
  <si>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</si>
  <si>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</si>
  <si>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</si>
  <si>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</si>
  <si>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</si>
  <si>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</si>
  <si>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</si>
  <si>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</si>
  <si>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</si>
  <si>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</si>
  <si>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</si>
  <si>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</si>
  <si>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</si>
  <si>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</si>
  <si>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</si>
  <si>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</si>
  <si>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</si>
  <si>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</si>
  <si>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</si>
  <si>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</si>
  <si>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</si>
  <si>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</si>
  <si>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</si>
  <si>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</si>
  <si>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</si>
  <si>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</si>
  <si>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</si>
  <si>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</si>
  <si>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</si>
  <si>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</si>
  <si>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</si>
  <si>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</si>
  <si>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</si>
  <si>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</si>
  <si>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</si>
  <si>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</si>
  <si>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</si>
  <si>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</si>
  <si>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</si>
  <si>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</si>
  <si>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</si>
  <si>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</si>
  <si>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</si>
  <si>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</si>
  <si>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</si>
  <si>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</si>
  <si>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</si>
  <si>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</si>
  <si>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</si>
  <si>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</si>
  <si>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</si>
  <si>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</si>
  <si>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</si>
  <si>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</si>
  <si>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</si>
  <si>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</si>
  <si>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</si>
  <si>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</si>
  <si>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</si>
  <si>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</si>
  <si>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</si>
  <si>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</si>
  <si>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</si>
  <si>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</si>
  <si>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</si>
  <si>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</si>
  <si>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</si>
  <si>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</si>
  <si>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</si>
  <si>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</si>
  <si>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</si>
  <si>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</si>
  <si>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</si>
  <si>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</si>
  <si>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</si>
  <si>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</si>
  <si>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</si>
  <si>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</si>
  <si>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</si>
  <si>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</si>
  <si>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</si>
  <si>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</si>
  <si>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</si>
  <si>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</si>
  <si>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</si>
  <si>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</si>
  <si>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</si>
  <si>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</si>
  <si>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</si>
  <si>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</si>
  <si>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</si>
  <si>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</si>
  <si>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</si>
  <si>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</si>
  <si>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</si>
  <si>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</si>
  <si>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</si>
  <si>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</si>
  <si>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</si>
  <si>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</si>
  <si>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</si>
  <si>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</si>
  <si>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</si>
  <si>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</si>
  <si>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</si>
  <si>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</si>
  <si>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</si>
  <si>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</si>
  <si>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</si>
  <si>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</si>
  <si>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</si>
  <si>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</si>
  <si>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</si>
  <si>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</si>
  <si>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</si>
  <si>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</si>
  <si>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</si>
  <si>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</si>
  <si>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</si>
  <si>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</si>
  <si>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</si>
  <si>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</si>
  <si>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</si>
  <si>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</si>
  <si>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</si>
  <si>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</si>
  <si>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</si>
  <si>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</si>
  <si>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</si>
  <si>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</si>
  <si>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</si>
  <si>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</si>
  <si>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</si>
  <si>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</si>
  <si>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</si>
  <si>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</si>
  <si>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</si>
  <si>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</si>
  <si>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</si>
  <si>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</si>
  <si>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</si>
  <si>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</si>
  <si>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</si>
  <si>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</si>
  <si>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</si>
  <si>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</si>
  <si>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</si>
  <si>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</si>
  <si>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</si>
  <si>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</si>
  <si>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</si>
  <si>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</si>
  <si>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</si>
  <si>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</si>
  <si>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</si>
  <si>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</si>
  <si>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</si>
  <si>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</si>
  <si>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</si>
  <si>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</si>
  <si>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</si>
  <si>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</si>
  <si>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</si>
  <si>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</si>
  <si>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</si>
  <si>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</si>
  <si>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</si>
  <si>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</si>
  <si>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</si>
  <si>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</si>
  <si>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</si>
  <si>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</si>
  <si>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</si>
  <si>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</si>
  <si>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</si>
  <si>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</si>
  <si>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</si>
  <si>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</si>
  <si>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</si>
  <si>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</si>
  <si>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</si>
  <si>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</si>
  <si>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</si>
  <si>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</si>
  <si>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</si>
  <si>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</si>
  <si>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</si>
  <si>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</si>
  <si>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</si>
  <si>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</si>
  <si>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</si>
  <si>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</si>
  <si>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</si>
  <si>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</si>
  <si>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</si>
  <si>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</si>
  <si>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</si>
  <si>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</si>
  <si>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</si>
  <si>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</si>
  <si>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</si>
  <si>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</si>
  <si>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</si>
  <si>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</si>
  <si>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</si>
  <si>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</si>
  <si>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</si>
  <si>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</si>
  <si>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</si>
  <si>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</si>
  <si>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</si>
  <si>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</si>
  <si>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</si>
  <si>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</si>
  <si>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</si>
  <si>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</si>
  <si>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</si>
  <si>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</si>
  <si>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</si>
  <si>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</si>
  <si>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</si>
  <si>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</si>
  <si>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</si>
  <si>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</si>
  <si>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</si>
  <si>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</si>
  <si>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</si>
  <si>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</si>
  <si>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</si>
  <si>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</si>
  <si>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</si>
  <si>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</si>
  <si>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</si>
  <si>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</si>
  <si>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</si>
  <si>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</si>
  <si>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</si>
  <si>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</si>
  <si>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</si>
  <si>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</si>
  <si>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</si>
  <si>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</si>
  <si>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</si>
  <si>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</si>
  <si>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</si>
  <si>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</si>
  <si>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</si>
  <si>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</si>
  <si>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</si>
  <si>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</si>
  <si>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</si>
  <si>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</si>
  <si>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</si>
  <si>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</si>
  <si>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</si>
  <si>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</si>
  <si>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</si>
  <si>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</si>
  <si>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</si>
  <si>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</si>
  <si>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</si>
  <si>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</si>
  <si>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</si>
  <si>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</si>
  <si>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</si>
  <si>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</si>
  <si>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</si>
  <si>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</si>
  <si>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</si>
  <si>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</si>
  <si>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</si>
  <si>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</si>
  <si>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</si>
  <si>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</si>
  <si>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</si>
  <si>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</si>
  <si>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</si>
  <si>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</si>
  <si>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</si>
  <si>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</si>
  <si>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</si>
  <si>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</si>
  <si>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</si>
  <si>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</si>
  <si>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</si>
  <si>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</si>
  <si>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</si>
  <si>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</si>
  <si>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</si>
  <si>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</si>
  <si>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</si>
  <si>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</si>
  <si>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</si>
  <si>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</si>
  <si>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</si>
  <si>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</si>
  <si>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</si>
  <si>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</si>
  <si>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</si>
  <si>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</si>
  <si>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</si>
  <si>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</si>
  <si>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</si>
  <si>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</si>
  <si>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</si>
  <si>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</si>
  <si>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</si>
  <si>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</si>
  <si>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</si>
  <si>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</si>
  <si>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</si>
  <si>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</si>
  <si>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</si>
  <si>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</si>
  <si>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</si>
  <si>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</si>
  <si>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</si>
  <si>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</si>
  <si>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</si>
  <si>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</si>
  <si>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</si>
  <si>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</si>
  <si>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</si>
  <si>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</si>
  <si>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</si>
  <si>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</si>
  <si>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</si>
  <si>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</si>
  <si>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</si>
  <si>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</si>
  <si>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</si>
  <si>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</si>
  <si>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</si>
  <si>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</si>
  <si>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</si>
  <si>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</si>
  <si>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</si>
  <si>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</si>
  <si>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</si>
  <si>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</si>
  <si>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</si>
  <si>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</si>
  <si>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</si>
  <si>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</si>
  <si>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</si>
  <si>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</si>
  <si>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</si>
  <si>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</si>
  <si>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</si>
  <si>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</si>
  <si>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</si>
  <si>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</si>
  <si>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</si>
  <si>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</si>
  <si>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</si>
  <si>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</si>
  <si>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</si>
  <si>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</si>
  <si>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</si>
  <si>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</si>
  <si>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</si>
  <si>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</si>
  <si>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</si>
  <si>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</si>
  <si>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</si>
  <si>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</si>
  <si>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</si>
  <si>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</si>
  <si>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</si>
  <si>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</si>
  <si>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</si>
  <si>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</si>
  <si>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</si>
  <si>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</si>
  <si>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</si>
  <si>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</si>
  <si>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</si>
  <si>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</si>
  <si>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</si>
  <si>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</si>
  <si>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</si>
  <si>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</si>
  <si>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</si>
  <si>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</si>
  <si>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</si>
  <si>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</si>
  <si>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</si>
  <si>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</si>
  <si>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</si>
  <si>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</si>
  <si>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</si>
  <si>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</si>
  <si>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</si>
  <si>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</si>
  <si>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</si>
  <si>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</si>
  <si>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</si>
  <si>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</si>
  <si>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</si>
  <si>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</si>
  <si>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</si>
  <si>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</si>
  <si>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</si>
  <si>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</si>
  <si>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</si>
  <si>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</si>
  <si>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</si>
  <si>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</si>
  <si>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</si>
  <si>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</si>
  <si>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</si>
  <si>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</si>
  <si>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</si>
  <si>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</si>
  <si>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</si>
  <si>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</si>
  <si>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</si>
  <si>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</si>
  <si>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</si>
  <si>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</si>
  <si>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</si>
  <si>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</si>
  <si>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</si>
  <si>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</si>
  <si>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</si>
  <si>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</si>
  <si>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</si>
  <si>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</si>
  <si>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</si>
  <si>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</si>
  <si>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</si>
  <si>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</si>
  <si>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</si>
  <si>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</si>
  <si>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</si>
  <si>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</si>
  <si>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</si>
  <si>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</si>
  <si>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</si>
  <si>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</si>
  <si>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</si>
  <si>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</si>
  <si>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</si>
  <si>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</si>
  <si>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</si>
  <si>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</si>
  <si>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</si>
  <si>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</si>
  <si>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</si>
  <si>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</si>
  <si>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</si>
  <si>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</si>
  <si>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</si>
  <si>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</si>
  <si>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</si>
  <si>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</si>
  <si>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</si>
  <si>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</si>
  <si>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</si>
  <si>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</si>
  <si>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</si>
  <si>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</si>
  <si>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</si>
  <si>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</si>
  <si>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</si>
  <si>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</si>
  <si>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</si>
  <si>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</si>
  <si>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</si>
  <si>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</si>
  <si>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</si>
  <si>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</si>
  <si>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</si>
  <si>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</si>
  <si>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</si>
  <si>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</si>
  <si>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</si>
  <si>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</si>
  <si>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</si>
  <si>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</si>
  <si>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</si>
  <si>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</si>
  <si>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</si>
  <si>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</si>
  <si>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</si>
  <si>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</si>
  <si>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</si>
  <si>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</si>
  <si>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</si>
  <si>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</si>
  <si>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</si>
  <si>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</si>
  <si>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</si>
  <si>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</si>
  <si>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</si>
  <si>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</si>
  <si>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</si>
  <si>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</si>
  <si>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</si>
  <si>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</si>
  <si>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</si>
  <si>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</si>
  <si>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</si>
  <si>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</si>
  <si>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</si>
  <si>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</si>
  <si>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</si>
  <si>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</si>
  <si>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</si>
  <si>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</si>
  <si>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</si>
  <si>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</si>
  <si>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</si>
  <si>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</si>
  <si>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</si>
  <si>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</si>
  <si>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</si>
  <si>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</si>
  <si>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</si>
  <si>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</si>
  <si>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</si>
  <si>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</si>
  <si>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</si>
  <si>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</si>
  <si>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</si>
  <si>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</si>
  <si>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</si>
  <si>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</si>
  <si>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</si>
  <si>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</si>
  <si>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</si>
  <si>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</si>
  <si>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</si>
  <si>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</si>
  <si>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</si>
  <si>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</si>
  <si>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</si>
  <si>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</si>
  <si>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</si>
  <si>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</si>
  <si>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</si>
  <si>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</si>
  <si>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</si>
  <si>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</si>
  <si>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</si>
  <si>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</si>
  <si>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</si>
  <si>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</si>
  <si>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</si>
  <si>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</si>
  <si>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</si>
  <si>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</si>
  <si>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</si>
  <si>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</si>
  <si>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</si>
  <si>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</si>
  <si>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</si>
  <si>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</si>
  <si>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</si>
  <si>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</si>
  <si>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</si>
  <si>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</si>
  <si>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</si>
  <si>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</si>
  <si>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</si>
  <si>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</si>
  <si>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</si>
  <si>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</si>
  <si>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</si>
  <si>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</si>
  <si>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</si>
  <si>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</si>
  <si>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</si>
  <si>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</si>
  <si>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</si>
  <si>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</si>
  <si>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</si>
  <si>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</si>
  <si>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</si>
  <si>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</si>
  <si>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</si>
  <si>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</si>
  <si>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</si>
  <si>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</si>
  <si>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</si>
  <si>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</si>
  <si>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</si>
  <si>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</si>
  <si>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</si>
  <si>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</si>
  <si>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</si>
  <si>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</si>
  <si>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</si>
  <si>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</si>
  <si>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</si>
  <si>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</si>
  <si>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</si>
  <si>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</si>
  <si>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</si>
  <si>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</si>
  <si>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</si>
  <si>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</si>
  <si>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</si>
  <si>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</si>
  <si>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</si>
  <si>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</si>
  <si>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</si>
  <si>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</si>
  <si>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</si>
  <si>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</si>
  <si>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</si>
  <si>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</si>
  <si>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</si>
  <si>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</si>
  <si>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</si>
  <si>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</si>
  <si>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</si>
  <si>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</si>
  <si>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</si>
  <si>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</si>
  <si>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</si>
  <si>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</si>
  <si>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</si>
  <si>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</si>
  <si>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</si>
  <si>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</si>
  <si>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</si>
  <si>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</si>
  <si>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</si>
  <si>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</si>
  <si>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</si>
  <si>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</si>
  <si>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</si>
  <si>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</si>
  <si>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</si>
  <si>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</si>
  <si>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</si>
  <si>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</si>
  <si>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</si>
  <si>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</si>
  <si>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</si>
  <si>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</si>
  <si>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</si>
  <si>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</si>
  <si>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</si>
  <si>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</si>
  <si>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</si>
  <si>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</si>
  <si>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</si>
  <si>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</si>
  <si>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</si>
  <si>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</si>
  <si>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</si>
  <si>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</si>
  <si>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</si>
  <si>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</si>
  <si>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</si>
  <si>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</si>
  <si>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</si>
  <si>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</si>
  <si>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</si>
  <si>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</si>
  <si>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</si>
  <si>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</si>
  <si>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</si>
  <si>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</si>
  <si>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</si>
  <si>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</si>
  <si>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</si>
  <si>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</si>
  <si>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</si>
  <si>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</si>
  <si>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</si>
  <si>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</si>
  <si>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</si>
  <si>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</si>
  <si>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</si>
  <si>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</si>
  <si>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</si>
  <si>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</si>
  <si>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</si>
  <si>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</si>
  <si>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</si>
  <si>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</si>
  <si>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</si>
  <si>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</si>
  <si>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</si>
  <si>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</si>
  <si>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</si>
  <si>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</si>
  <si>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</si>
  <si>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</si>
  <si>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</si>
  <si>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</si>
  <si>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</si>
  <si>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</si>
  <si>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</si>
  <si>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</si>
  <si>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</si>
  <si>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</si>
  <si>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</si>
  <si>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</si>
  <si>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</si>
  <si>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</si>
  <si>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</si>
  <si>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</si>
  <si>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</si>
  <si>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</si>
  <si>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</si>
  <si>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</si>
  <si>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</si>
  <si>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</si>
  <si>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</si>
  <si>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</si>
  <si>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</si>
  <si>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</si>
  <si>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</si>
  <si>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</si>
  <si>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</si>
  <si>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</si>
  <si>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</si>
  <si>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</si>
  <si>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</si>
  <si>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</si>
  <si>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</si>
  <si>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</si>
  <si>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</si>
  <si>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</si>
  <si>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</si>
  <si>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</si>
  <si>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</si>
  <si>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</si>
  <si>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</si>
  <si>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</si>
  <si>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</si>
  <si>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</si>
  <si>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</si>
  <si>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</si>
  <si>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</si>
  <si>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</si>
  <si>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</si>
  <si>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</si>
  <si>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</si>
  <si>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</si>
  <si>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</si>
  <si>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</si>
  <si>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</si>
  <si>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Em contato com a TP, informado que estão realizando limpeza no local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</si>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</sst>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W189" activePane="topRight" state="frozen"/>
      <selection pane="topRight" activeCell="X207" sqref="X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630</v>
      </c>
      <c r="BP191" s="19" t="s">
        <v>1459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E1445974</v>
      </c>
      <c r="B207" s="155">
        <v>45974</v>
      </c>
      <c r="C207" s="156">
        <f>IF(BS_CONTROLE[[#This Row],[DATA]]="","",WEEKNUM(BS_CONTROLE[[#This Row],[DATA]]))</f>
        <v>46</v>
      </c>
      <c r="D207" s="157" t="s">
        <v>828</v>
      </c>
      <c r="E207" s="239">
        <v>147</v>
      </c>
      <c r="F207" s="142" t="s">
        <v>786</v>
      </c>
      <c r="G207" s="177" t="str">
        <f>IF(D207="","*",VLOOKUP(F207,BS_ATIVIDADE[],3,FALSE))</f>
        <v>MECANIZAÇÃO - ESMERILHADORA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M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 t="s">
        <v>519</v>
      </c>
      <c r="Y207" s="143"/>
      <c r="Z207" s="116" t="s">
        <v>525</v>
      </c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MECANIZAÇÃO - ESMERILHADORA</v>
      </c>
      <c r="AJ207" s="9" t="str">
        <f>IF(BS_CONTROLE[[#This Row],[Atividade]]=0, "-", BS_CONTROLE[[#This Row],[Atividade]])</f>
        <v>MECANIZAÇÃO - ESMERILHADORA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M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e">
        <f t="shared" si="58"/>
        <v>#DIV/0!</v>
      </c>
      <c r="BR207" s="21" t="e">
        <f t="shared" si="59"/>
        <v>#DIV/0!</v>
      </c>
      <c r="BS207" s="21" t="e">
        <f t="shared" si="60"/>
        <v>#DIV/0!</v>
      </c>
      <c r="BT207" s="8" t="str">
        <f t="shared" si="43"/>
        <v/>
      </c>
    </row>
    <row r="208" spans="1:73" hidden="1">
      <c r="A208" s="147" t="str">
        <f>D208&amp;B208</f>
        <v>JOVÂNIO (TP-850)45974</v>
      </c>
      <c r="B208" s="155">
        <v>45974</v>
      </c>
      <c r="C208" s="156">
        <f>IF(BS_CONTROLE[[#This Row],[DATA]]="","",WEEKNUM(BS_CONTROLE[[#This Row],[DATA]]))</f>
        <v>46</v>
      </c>
      <c r="D208" s="157" t="s">
        <v>976</v>
      </c>
      <c r="E208" s="239">
        <v>127</v>
      </c>
      <c r="F208" s="142" t="s">
        <v>872</v>
      </c>
      <c r="G208" s="177" t="str">
        <f>IF(D208="","*",VLOOKUP(F208,BS_ATIVIDADE[],3,FALSE))</f>
        <v>SOLDA</v>
      </c>
      <c r="H208" s="200" t="s">
        <v>1179</v>
      </c>
      <c r="I208" s="158" t="s">
        <v>517</v>
      </c>
      <c r="J208" s="141">
        <v>73</v>
      </c>
      <c r="K208" s="141">
        <v>373.6</v>
      </c>
      <c r="L208" s="117" t="s">
        <v>517</v>
      </c>
      <c r="M208" s="141" t="s">
        <v>1180</v>
      </c>
      <c r="N208" s="141" t="s">
        <v>1179</v>
      </c>
      <c r="O208" s="118">
        <v>0.375</v>
      </c>
      <c r="P208" s="118">
        <v>6.25E-2</v>
      </c>
      <c r="Q208" s="117">
        <v>1</v>
      </c>
      <c r="R208" s="10" t="str">
        <f>IFERROR(_xlfn.XLOOKUP(F208, BS_ATIVIDADE[ATIVIDADE],BS_ATIVIDADE[UNIDADE] ), "*")</f>
        <v>Nº DE SOLDA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1397</v>
      </c>
      <c r="W208" s="117" t="s">
        <v>1308</v>
      </c>
      <c r="X208" s="116" t="s">
        <v>519</v>
      </c>
      <c r="Y208" s="143"/>
      <c r="Z208" s="116" t="s">
        <v>520</v>
      </c>
      <c r="AA208" s="117" t="s">
        <v>517</v>
      </c>
      <c r="AB208" s="115" t="s">
        <v>517</v>
      </c>
      <c r="AC208" s="115" t="s">
        <v>517</v>
      </c>
      <c r="AD208" s="119" t="s">
        <v>517</v>
      </c>
      <c r="AE208" s="117" t="s">
        <v>517</v>
      </c>
      <c r="AF208" s="117" t="s">
        <v>517</v>
      </c>
      <c r="AG208" s="141" t="s">
        <v>517</v>
      </c>
      <c r="AH208" s="16"/>
      <c r="AI208" s="140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4" t="str">
        <f>BS_CONTROLE[[#This Row],[Local - Partida]]</f>
        <v>ZJAN</v>
      </c>
      <c r="AL208" s="34" t="str">
        <f>BS_CONTROLE[[#This Row],[Local - Encerramento]]</f>
        <v>-</v>
      </c>
      <c r="AM208" s="117" t="str">
        <f>IF(BS_CONTROLE[[#This Row],[Entre - Estações]]=0, "-", BS_CONTROLE[[#This Row],[Entre - Estações]])</f>
        <v>ZJA-N</v>
      </c>
      <c r="AN208" s="117" t="str">
        <f>IF(BS_CONTROLE[[#This Row],[SB]]=0, "-", BS_CONTROLE[[#This Row],[SB]])</f>
        <v>ZJAN</v>
      </c>
      <c r="AO208" s="117">
        <f>IF(BS_CONTROLE[[#This Row],[SUB]]=0, "-", BS_CONTROLE[[#This Row],[SUB]])</f>
        <v>73</v>
      </c>
      <c r="AP208" s="117">
        <f>BS_CONTROLE[[#This Row],[KM - Inicio]]</f>
        <v>373.6</v>
      </c>
      <c r="AQ208" s="117">
        <f>BS_CONTROLE[[#This Row],[KM - Inicio]]</f>
        <v>373.6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Nº DE SOLDA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Jovanio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319</v>
      </c>
      <c r="L209" s="117">
        <v>317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209" s="141" t="s">
        <v>1452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</v>
      </c>
      <c r="AN209" s="117" t="str">
        <f>IF(BS_CONTROLE[[#This Row],[SB]]=0, "-", BS_CONTROLE[[#This Row],[SB]])</f>
        <v>ZG1</v>
      </c>
      <c r="AO209" s="117">
        <f>IF(BS_CONTROLE[[#This Row],[SUB]]=0, "-", BS_CONTROLE[[#This Row],[SUB]])</f>
        <v>73</v>
      </c>
      <c r="AP209" s="117">
        <f>BS_CONTROLE[[#This Row],[KM - Inicio]]</f>
        <v>319</v>
      </c>
      <c r="AQ209" s="117">
        <f>BS_CONTROLE[[#This Row],[KM - Inicio]]</f>
        <v>319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1330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16 AC225:AC226 AC241 AA251:AE251 AC269 AA113:AE113 AA138 AA144:AE144 AA142:AB142 AA187:AE189 AE192 AA193:AE194 AA191:AE191 AA208:AE209" name="Range1_1_7_35_1"/>
    <protectedRange sqref="AF27 AF35 AF125:AF128 AF121 AF165:AF168 AF136 AF251 AF113:AF119 AF144 AF187:AF189 AF193:AF194 AF191 AF208:AF209" name="Range1_1_8_28"/>
    <protectedRange sqref="AE37:AF37 AE231:AF231 AE248:AF248 AE263:AF263" name="Range1_1_7_3"/>
    <protectedRange sqref="V43:W43 V75:W75" name="Range1_1_6_1_1"/>
    <protectedRange sqref="AA48 AA76 AA120 AA118 AA216 AA226 AA241 AA269 AA57:AA59" name="Range1_1_7_1_1"/>
    <protectedRange sqref="AB48:AE48 AB76:AE76 AD114 AD128 AB120:AE120 AB118 AB216 AD216:AE216 AB226 AD226:AE226 AB241 AD241:AE241 AB269 AD269:AE269 AB57:AE59" name="Range1_1_7_34_2"/>
    <protectedRange sqref="AF48 AF76 AF120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07 X211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1480</v>
      </c>
      <c r="V1" s="294"/>
      <c r="W1" s="294"/>
    </row>
    <row r="2" spans="1:23" s="91" customFormat="1">
      <c r="A2" s="94" t="s">
        <v>1481</v>
      </c>
      <c r="B2" s="94" t="s">
        <v>1482</v>
      </c>
      <c r="C2" s="94" t="s">
        <v>508</v>
      </c>
      <c r="D2" s="95" t="s">
        <v>1062</v>
      </c>
      <c r="E2" s="95" t="s">
        <v>1063</v>
      </c>
      <c r="F2" s="95" t="s">
        <v>1483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1484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P3</v>
      </c>
      <c r="D204" s="171" t="str">
        <f>IF(SP_NORTE!S207="","*",SP_NORTE!S207)</f>
        <v>-</v>
      </c>
      <c r="E204" s="171" t="str">
        <f>IF(SP_NORTE!T207="","*",SP_NORTE!T207)</f>
        <v>-</v>
      </c>
      <c r="F204" s="180">
        <f>IF(SP_NORTE!B207="","*",SP_NORTE!B207)</f>
        <v>45974</v>
      </c>
      <c r="G204" s="180" t="str">
        <f>IF(SP_NORTE!D207="","*",SP_NORTE!D207)</f>
        <v>E14</v>
      </c>
      <c r="H204" s="180" t="str">
        <f>IF(SP_NORTE!F207="","*",SP_NORTE!F207)</f>
        <v>MECANIZAÇÃO - ESMERILHADORA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>
        <f ca="1">_xlfn.XLOOKUP(G204&amp;$V$2,BS_CONTROLE[CHAVE],BS_CONTROLE[Quantidade_11],"-")</f>
        <v>0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P1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JOVÂNIO (TP-850)</v>
      </c>
      <c r="H205" s="180" t="str">
        <f>IF(SP_NORTE!F208="","*",SP_NORTE!F208)</f>
        <v>PDM - SOLDA</v>
      </c>
      <c r="I205" s="180" t="str">
        <f>IF(SP_NORTE!H208="","*",SP_NORTE!H208)</f>
        <v>ZJAN</v>
      </c>
      <c r="J205" s="180" t="str">
        <f>IF(SP_NORTE!I208="","*",SP_NORTE!I208)</f>
        <v>-</v>
      </c>
      <c r="K205" s="171" t="str">
        <f>IF(SP_NORTE!M208="","*",SP_NORTE!M208)</f>
        <v>ZJA-N</v>
      </c>
      <c r="L205" s="171" t="str">
        <f>IF(SP_NORTE!N208="","*",SP_NORTE!N208)</f>
        <v>ZJAN</v>
      </c>
      <c r="M205" s="172">
        <f>IF(SP_NORTE!J208="","*",SP_NORTE!J208)</f>
        <v>73</v>
      </c>
      <c r="N205" s="179">
        <f>IF(SP_NORTE!K208="","*",SP_NORTE!K208)</f>
        <v>373.6</v>
      </c>
      <c r="O205" s="179" t="str">
        <f>IF(SP_NORTE!L208="","*",SP_NORTE!L208)</f>
        <v>-</v>
      </c>
      <c r="P205" s="178">
        <f>IF(SP_NORTE!O208="","*",SP_NORTE!O208)</f>
        <v>0.375</v>
      </c>
      <c r="Q205" s="178">
        <f>IF(SP_NORTE!P208="","*",SP_NORTE!P208)</f>
        <v>6.25E-2</v>
      </c>
      <c r="R205" s="180" t="str">
        <f>IF(SP_NORTE!Q208="","*",CONCATENATE(SP_NORTE!Q208," ",SP_NORTE!R208))</f>
        <v>1 Nº DE SOLDA</v>
      </c>
      <c r="S205" s="180" t="str">
        <f>IF(SP_NORTE!V208="","*",SP_NORTE!V208)</f>
        <v>Jovanio</v>
      </c>
      <c r="T205" s="180" t="str">
        <f>IF(SP_NORTE!W208="","*",SP_NORTE!W208)</f>
        <v>Solda - Condicionado à temperatura (ZJA-N)</v>
      </c>
      <c r="U205" s="169">
        <f ca="1">_xlfn.XLOOKUP(G205&amp;$U$2,BS_CONTROLE[CHAVE],BS_CONTROLE[Quantidade_11],"-")</f>
        <v>0</v>
      </c>
      <c r="V205" s="169">
        <f ca="1">_xlfn.XLOOKUP(G205&amp;$V$2,BS_CONTROLE[CHAVE],BS_CONTROLE[Quantidade_11],"-")</f>
        <v>1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</v>
      </c>
      <c r="L206" s="171" t="str">
        <f>IF(SP_NORTE!N209="","*",SP_NORTE!N209)</f>
        <v>ZG1</v>
      </c>
      <c r="M206" s="172">
        <f>IF(SP_NORTE!J209="","*",SP_NORTE!J209)</f>
        <v>73</v>
      </c>
      <c r="N206" s="179">
        <f>IF(SP_NORTE!K209="","*",SP_NORTE!K209)</f>
        <v>319</v>
      </c>
      <c r="O206" s="179">
        <f>IF(SP_NORTE!L209="","*",SP_NORTE!L209)</f>
        <v>317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Solda 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1485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1486</v>
      </c>
      <c r="D5" s="296"/>
      <c r="E5" s="296"/>
      <c r="F5" s="296"/>
      <c r="G5" s="296"/>
      <c r="H5" s="296"/>
      <c r="I5" s="296"/>
      <c r="J5" s="297"/>
      <c r="K5" s="298" t="s">
        <v>1487</v>
      </c>
      <c r="L5" s="299"/>
      <c r="M5" s="299"/>
      <c r="N5" s="299"/>
      <c r="O5" s="300" t="s">
        <v>1488</v>
      </c>
      <c r="P5" s="301"/>
    </row>
    <row r="6" spans="1:16" s="81" customFormat="1" ht="15" customHeight="1">
      <c r="A6" s="73" t="s">
        <v>1483</v>
      </c>
      <c r="B6" s="82" t="s">
        <v>1482</v>
      </c>
      <c r="C6" s="83" t="s">
        <v>1062</v>
      </c>
      <c r="D6" s="84" t="s">
        <v>1063</v>
      </c>
      <c r="E6" s="83" t="s">
        <v>1489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1490</v>
      </c>
      <c r="M6" s="87" t="s">
        <v>708</v>
      </c>
      <c r="N6" s="88" t="s">
        <v>1057</v>
      </c>
      <c r="O6" s="204" t="s">
        <v>1100</v>
      </c>
      <c r="P6" s="149" t="s">
        <v>1491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E14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JOVÂNIO (TP-850)</v>
      </c>
      <c r="F206" s="90" t="str">
        <f>IF(SP_NORTE!H208="","*",SP_NORTE!H208)</f>
        <v>ZJAN</v>
      </c>
      <c r="G206" s="90" t="str">
        <f>IF(SP_NORTE!M208="","*",SP_NORTE!M208)</f>
        <v>ZJA-N</v>
      </c>
      <c r="H206" s="129">
        <f>IF(SP_NORTE!K208="","*",SP_NORTE!K208)</f>
        <v>373.6</v>
      </c>
      <c r="I206" s="126">
        <f>IF(SP_NORTE!O208="","*",SP_NORTE!O208)</f>
        <v>0.375</v>
      </c>
      <c r="J206" s="126">
        <f>IF(SP_NORTE!P208="","*",SP_NORTE!P208)</f>
        <v>6.25E-2</v>
      </c>
      <c r="K206" s="90" t="str">
        <f>IF(SP_NORTE!AK208="","*",SP_NORTE!AK208)</f>
        <v>ZJAN</v>
      </c>
      <c r="L206" s="90" t="str">
        <f>IF(SP_NORTE!AM208="","*",SP_NORTE!AM208)</f>
        <v>ZJA-N</v>
      </c>
      <c r="M206" s="90">
        <f>IF(SP_NORTE!AP208="","*",SP_NORTE!AP208)</f>
        <v>373.6</v>
      </c>
      <c r="N206" s="90" t="str">
        <f>IF(SP_NORTE!AM208="","*",SP_NORTE!AM208)</f>
        <v>ZJA-N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</v>
      </c>
      <c r="H207" s="129">
        <f>IF(SP_NORTE!K209="","*",SP_NORTE!K209)</f>
        <v>319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</v>
      </c>
      <c r="M207" s="90">
        <f>IF(SP_NORTE!AP209="","*",SP_NORTE!AP209)</f>
        <v>319</v>
      </c>
      <c r="N207" s="90" t="str">
        <f>IF(SP_NORTE!AM209="","*",SP_NORTE!AM209)</f>
        <v>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1492</v>
      </c>
      <c r="C2" s="134" t="s">
        <v>1047</v>
      </c>
      <c r="D2" s="83" t="s">
        <v>1049</v>
      </c>
      <c r="E2" s="83" t="s">
        <v>1493</v>
      </c>
      <c r="F2" s="111" t="s">
        <v>1494</v>
      </c>
      <c r="G2" s="83" t="s">
        <v>1495</v>
      </c>
      <c r="H2" s="83" t="s">
        <v>1496</v>
      </c>
      <c r="I2" s="83" t="s">
        <v>1497</v>
      </c>
      <c r="J2" s="83" t="s">
        <v>1498</v>
      </c>
      <c r="K2" s="85" t="s">
        <v>1499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E14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JOVÂNIO (TP-850)</v>
      </c>
      <c r="E163" s="106" t="str">
        <f>IF(SP_NORTE!H208="","*",SP_NORTE!H208)</f>
        <v>ZJAN</v>
      </c>
      <c r="F163" s="112" t="str">
        <f>IF(SP_NORTE!M208="","*",SP_NORTE!M208)</f>
        <v>ZJA-N</v>
      </c>
      <c r="G163" s="107" t="str">
        <f>IF(SP_NORTE!I208="","*",SP_NORTE!I208)</f>
        <v>-</v>
      </c>
      <c r="H163" s="107" t="str">
        <f>IF(SP_NORTE!AB208="","*",SP_NORTE!AB208)</f>
        <v>-</v>
      </c>
      <c r="I163" s="107" t="str">
        <f>IF(SP_NORTE!AC208="","*",SP_NORTE!AC208)</f>
        <v>-</v>
      </c>
      <c r="J163" s="108" t="str">
        <f>IF(SP_NORTE!AA208="","*",SP_NORTE!AA208)</f>
        <v>-</v>
      </c>
      <c r="K163" s="109" t="str">
        <f>IF(SP_NORTE!AD208="","*",SP_NORTE!AD208)</f>
        <v>-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2025-11-12T15:59:21Z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