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21" documentId="8_{B6337239-1A00-434D-AAD0-422EA1FEB5AE}" xr6:coauthVersionLast="47" xr6:coauthVersionMax="47" xr10:uidLastSave="{0FC12529-60CD-4602-A32C-304CCE2D2F8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5" i="1" l="1" a="1"/>
  <c r="M235" i="1" s="1"/>
  <c r="N233" i="1" a="1"/>
  <c r="N233" i="1" s="1"/>
  <c r="M233" i="1" a="1"/>
  <c r="M233" i="1" s="1"/>
  <c r="N232" i="1" a="1"/>
  <c r="N232" i="1" s="1"/>
  <c r="M232" i="1" a="1"/>
  <c r="M232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AM235" i="1"/>
  <c r="AN235" i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64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M328" i="11"/>
  <c r="K330" i="11"/>
  <c r="K338" i="11"/>
  <c r="M340" i="11"/>
  <c r="K344" i="11"/>
  <c r="M344" i="11"/>
  <c r="K348" i="11"/>
  <c r="M349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<sst xmlns="http://schemas.openxmlformats.org/spreadsheetml/2006/main" count="6773" uniqueCount="1347">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</sst>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16" activePane="bottomRight" state="frozen"/>
      <selection pane="bottomRight" activeCell="H235" sqref="H235:Q2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str">
        <f t="shared" si="20"/>
        <v>Produção</v>
      </c>
      <c r="BR199" s="19">
        <f t="shared" si="21"/>
        <v>1.0000000000000004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1261</v>
      </c>
      <c r="BK205" s="17" t="s">
        <v>1261</v>
      </c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1263</v>
      </c>
      <c r="BK206" s="17" t="s">
        <v>1263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1264</v>
      </c>
      <c r="BK208" s="17" t="s">
        <v>1265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1266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1267</v>
      </c>
      <c r="BK209" s="17" t="s">
        <v>1268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1268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1269</v>
      </c>
      <c r="BK210" s="17" t="s">
        <v>1268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1268</v>
      </c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1270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1271</v>
      </c>
      <c r="BK211" s="17" t="s">
        <v>1271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1272</v>
      </c>
      <c r="BK212" s="17" t="s">
        <v>1272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1274</v>
      </c>
      <c r="BK213" s="17" t="s">
        <v>1274</v>
      </c>
      <c r="BL213" s="16"/>
      <c r="BM213" s="15"/>
      <c r="BN213" s="15"/>
      <c r="BO213" s="165"/>
      <c r="BP213" s="17"/>
      <c r="BQ213" s="13" t="str">
        <f t="shared" si="20"/>
        <v>Produção</v>
      </c>
      <c r="BR213" s="19">
        <f t="shared" si="21"/>
        <v>0.99999999999999956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1275</v>
      </c>
      <c r="BK214" s="17" t="s">
        <v>1275</v>
      </c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1276</v>
      </c>
      <c r="BK215" s="17" t="s">
        <v>1277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1277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1278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1279</v>
      </c>
      <c r="N224" s="204" t="s">
        <v>1280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>MOD ZRB ZEV</v>
      </c>
      <c r="B227" s="171"/>
      <c r="C227" s="8" t="str">
        <f>IF(BS_CONTROLE[[#This Row],[DATA]]="","",WEEKNUM(BS_CONTROLE[[#This Row],[DATA]]))</f>
        <v/>
      </c>
      <c r="D227" s="320" t="s">
        <v>1006</v>
      </c>
      <c r="E227" s="314">
        <v>613.29597131785704</v>
      </c>
      <c r="F227" s="71" t="s">
        <v>306</v>
      </c>
      <c r="G227" s="9" t="str">
        <f>IF(D227="","*",VLOOKUP(F227,BS_ATIVIDADE[#All],3,FALSE))</f>
        <v>OUTROS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BINÁRIO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BLOCO</v>
      </c>
      <c r="AJ227" s="9" t="str">
        <f>IF(D227="","*",VLOOKUP(AI227,BS_ATIVIDADE[#Data],3,FALSE))</f>
        <v>OUTROS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BINÁRIO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>V96</v>
      </c>
      <c r="B228" s="171"/>
      <c r="C228" s="8" t="str">
        <f>IF(BS_CONTROLE[[#This Row],[DATA]]="","",WEEKNUM(BS_CONTROLE[[#This Row],[DATA]]))</f>
        <v/>
      </c>
      <c r="D228" s="320" t="s">
        <v>529</v>
      </c>
      <c r="E228" s="294">
        <v>336</v>
      </c>
      <c r="F228" s="71" t="s">
        <v>448</v>
      </c>
      <c r="G228" s="9" t="str">
        <f>IF(D228="","*",VLOOKUP(F228,BS_ATIVIDADE[#All],3,FALSE))</f>
        <v>MODERNIZAÇÃO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M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MODERNIZAÇÃO - SOCADORA</v>
      </c>
      <c r="AJ228" s="9" t="str">
        <f>IF(D228="","*",VLOOKUP(AI228,BS_ATIVIDADE[#Data],3,FALSE))</f>
        <v>MODERNIZAÇÃO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0</v>
      </c>
      <c r="AZ228" s="14"/>
      <c r="BA228" s="72"/>
      <c r="BB228" s="10" t="str">
        <f>IFERROR(_xlfn.XLOOKUP(AI228, BS_ATIVIDADE[ATIVIDADE],BS_ATIVIDADE[UNIDADE] ), "*")</f>
        <v>M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W97</v>
      </c>
      <c r="B229" s="171"/>
      <c r="C229" s="8" t="str">
        <f>IF(BS_CONTROLE[[#This Row],[DATA]]="","",WEEKNUM(BS_CONTROLE[[#This Row],[DATA]]))</f>
        <v/>
      </c>
      <c r="D229" s="320" t="s">
        <v>553</v>
      </c>
      <c r="E229" s="294">
        <v>337</v>
      </c>
      <c r="F229" s="71" t="s">
        <v>446</v>
      </c>
      <c r="G229" s="9" t="str">
        <f>IF(D229="","*",VLOOKUP(F229,BS_ATIVIDADE[#All],3,FALSE))</f>
        <v>MODERNIZAÇÃO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VAGÕES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MODERNIZAÇÃO - PEDRA - DESCARGA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VAGÕES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W96</v>
      </c>
      <c r="B230" s="171"/>
      <c r="C230" s="8" t="str">
        <f>IF(BS_CONTROLE[[#This Row],[DATA]]="","",WEEKNUM(BS_CONTROLE[[#This Row],[DATA]]))</f>
        <v/>
      </c>
      <c r="D230" s="320" t="s">
        <v>552</v>
      </c>
      <c r="E230" s="294">
        <v>338</v>
      </c>
      <c r="F230" s="71" t="s">
        <v>439</v>
      </c>
      <c r="G230" s="9" t="str">
        <f>IF(D230="","*",VLOOKUP(F230,BS_ATIVIDADE[#All],3,FALSE))</f>
        <v>MODERNIZAÇÃO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Nº DE DORMENTES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MODERNIZAÇÃO - DORMENTE - DESCARGA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DORMENTES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EDSON (TP-719)</v>
      </c>
      <c r="B232" s="171"/>
      <c r="C232" s="8" t="str">
        <f>IF(BS_CONTROLE[[#This Row],[DATA]]="","",WEEKNUM(BS_CONTROLE[[#This Row],[DATA]]))</f>
        <v/>
      </c>
      <c r="D232" s="52" t="s">
        <v>584</v>
      </c>
      <c r="E232" s="294">
        <v>92</v>
      </c>
      <c r="F232" s="172" t="s">
        <v>469</v>
      </c>
      <c r="G232" s="9" t="str">
        <f>IF(D232="","*",VLOOKUP(F232,BS_ATIVIDADE[#All],3,FALSE))</f>
        <v>ALÍVIO</v>
      </c>
      <c r="H232" s="173" t="s">
        <v>317</v>
      </c>
      <c r="I232" s="173" t="s">
        <v>317</v>
      </c>
      <c r="J232" s="217">
        <v>92</v>
      </c>
      <c r="K232" s="217">
        <v>71.7</v>
      </c>
      <c r="L232" s="84" t="s">
        <v>317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2" s="173">
        <v>0.45833333333333331</v>
      </c>
      <c r="P232" s="173">
        <v>8.3333333333333329E-2</v>
      </c>
      <c r="Q232" s="84">
        <v>300</v>
      </c>
      <c r="R232" s="10" t="str">
        <f>IFERROR(_xlfn.XLOOKUP(F232, BS_ATIVIDADE[ATIVIDADE],BS_ATIVIDADE[UNIDADE] ), "*")</f>
        <v>M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261" t="s">
        <v>958</v>
      </c>
      <c r="W232" s="173" t="s">
        <v>1124</v>
      </c>
      <c r="X232" s="218" t="s">
        <v>662</v>
      </c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PDM - ALÍVIO DE TENSÃO</v>
      </c>
      <c r="AJ232" s="9" t="str">
        <f>IF(D232="","*",VLOOKUP(AI232,BS_ATIVIDADE[#Data],3,FALSE))</f>
        <v>ALÍVIO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ZEZ-069</v>
      </c>
      <c r="AN232" s="258" t="str">
        <f>IF(BS_CONTROLE[[#This Row],[SB]]=0, "-", BS_CONTROLE[[#This Row],[SB]])</f>
        <v>K72K712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71.7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M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Moisés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>WILLIAN (TP-811)</v>
      </c>
      <c r="B233" s="171"/>
      <c r="C233" s="8" t="str">
        <f>IF(BS_CONTROLE[[#This Row],[DATA]]="","",WEEKNUM(BS_CONTROLE[[#This Row],[DATA]]))</f>
        <v/>
      </c>
      <c r="D233" s="52" t="s">
        <v>646</v>
      </c>
      <c r="E233" s="294">
        <v>203</v>
      </c>
      <c r="F233" s="172" t="s">
        <v>506</v>
      </c>
      <c r="G233" s="9" t="str">
        <f>IF(D233="","*",VLOOKUP(F233,BS_ATIVIDADE[#All],3,FALSE))</f>
        <v>TRILHO - SUBSTITUIÇÂO</v>
      </c>
      <c r="H233" s="173" t="s">
        <v>317</v>
      </c>
      <c r="I233" s="173" t="s">
        <v>317</v>
      </c>
      <c r="J233" s="217">
        <v>92</v>
      </c>
      <c r="K233" s="217">
        <v>85.3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3" s="173">
        <v>0.45833333333333331</v>
      </c>
      <c r="P233" s="173">
        <v>6.25E-2</v>
      </c>
      <c r="Q233" s="84">
        <v>100</v>
      </c>
      <c r="R233" s="10" t="str">
        <f>IFERROR(_xlfn.XLOOKUP(F233, BS_ATIVIDADE[ATIVIDADE],BS_ATIVIDADE[UNIDADE] ), "*")</f>
        <v>M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3" s="81" t="str">
        <f>IFERROR(_xlfn.XLOOKUP(J233, BASE_MAPA!$D$2:$D$260, BASE_MAPA!$I$2:$I$260), "ERRO")</f>
        <v>069-ZEV</v>
      </c>
      <c r="V233" s="261" t="s">
        <v>958</v>
      </c>
      <c r="W233" s="173" t="s">
        <v>994</v>
      </c>
      <c r="X233" s="218" t="s">
        <v>662</v>
      </c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PDM - SUBSTITUIÇÃO - TRILHO</v>
      </c>
      <c r="AJ233" s="9" t="str">
        <f>IF(D233="","*",VLOOKUP(AI233,BS_ATIVIDADE[#Data],3,FALSE))</f>
        <v>TRILHO - SUBSTITUIÇÂO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ZXW</v>
      </c>
      <c r="AN233" s="258" t="str">
        <f>IF(BS_CONTROLE[[#This Row],[SB]]=0, "-", BS_CONTROLE[[#This Row],[SB]])</f>
        <v>ZESK852</v>
      </c>
      <c r="AO233" s="259">
        <f>IF(BS_CONTROLE[[#This Row],[SUB]]=0, "-", BS_CONTROLE[[#This Row],[SUB]])</f>
        <v>92</v>
      </c>
      <c r="AP233" s="260">
        <f>IF(BS_CONTROLE[[#This Row],[KM - Inicio]]=0, "-", BS_CONTROLE[[#This Row],[KM - Inicio]])</f>
        <v>85.3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>
        <f t="shared" si="25"/>
        <v>0</v>
      </c>
      <c r="AZ233" s="14"/>
      <c r="BA233" s="72"/>
      <c r="BB233" s="10" t="str">
        <f>IFERROR(_xlfn.XLOOKUP(AI233, BS_ATIVIDADE[ATIVIDADE],BS_ATIVIDADE[UNIDADE] ), "*")</f>
        <v>M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3" s="11" t="str">
        <f>IFERROR(_xlfn.XLOOKUP(AO233, BASE_MAPA!$D$2:$D$260, BASE_MAPA!$I$2:$I$260), "ERRO")</f>
        <v>069-ZEV</v>
      </c>
      <c r="BF233" s="261" t="str">
        <f>IF(BS_CONTROLE[[#This Row],[Responsavel pelo boletim]]=0, "-", BS_CONTROLE[[#This Row],[Responsavel pelo boletim]])</f>
        <v>Moisés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HUELTON (TP-725)</v>
      </c>
      <c r="B234" s="171"/>
      <c r="C234" s="8" t="str">
        <f>IF(BS_CONTROLE[[#This Row],[DATA]]="","",WEEKNUM(BS_CONTROLE[[#This Row],[DATA]]))</f>
        <v/>
      </c>
      <c r="D234" s="52" t="s">
        <v>596</v>
      </c>
      <c r="E234" s="294">
        <v>90</v>
      </c>
      <c r="F234" s="172" t="s">
        <v>499</v>
      </c>
      <c r="G234" s="9" t="str">
        <f>IF(D234="","*",VLOOKUP(F234,BS_ATIVIDADE[#All],3,FALSE))</f>
        <v>SOLDA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Nº DE SOLDA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PDM - SOLDA</v>
      </c>
      <c r="AJ234" s="9" t="str">
        <f>IF(D234="","*",VLOOKUP(AI234,BS_ATIVIDADE[#Data],3,FALSE))</f>
        <v>SOLDA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Nº DE SOLDA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MOD ZGP</v>
      </c>
      <c r="B235" s="171"/>
      <c r="C235" s="8" t="str">
        <f>IF(BS_CONTROLE[[#This Row],[DATA]]="","",WEEKNUM(BS_CONTROLE[[#This Row],[DATA]]))</f>
        <v/>
      </c>
      <c r="D235" s="52" t="s">
        <v>1023</v>
      </c>
      <c r="E235" s="315">
        <v>455</v>
      </c>
      <c r="F235" s="71" t="s">
        <v>306</v>
      </c>
      <c r="G235" s="9" t="str">
        <f>IF(D235="","*",VLOOKUP(F235,BS_ATIVIDADE[#All],3,FALSE))</f>
        <v>OUTROS</v>
      </c>
      <c r="H235" s="173" t="s">
        <v>317</v>
      </c>
      <c r="I235" s="173" t="s">
        <v>317</v>
      </c>
      <c r="J235" s="217">
        <v>54</v>
      </c>
      <c r="K235" s="217">
        <v>102</v>
      </c>
      <c r="L235" s="217">
        <v>106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5" s="217" t="s">
        <v>1024</v>
      </c>
      <c r="O235" s="173">
        <v>0.33333333333333331</v>
      </c>
      <c r="P235" s="173">
        <v>0.22916666666666666</v>
      </c>
      <c r="Q235" s="217">
        <v>1</v>
      </c>
      <c r="R235" s="10" t="str">
        <f>IFERROR(_xlfn.XLOOKUP(F235, BS_ATIVIDADE[ATIVIDADE],BS_ATIVIDADE[UNIDADE] ), "*")</f>
        <v>BINÁRIO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ZEV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BLOCO</v>
      </c>
      <c r="AJ235" s="9" t="str">
        <f>IF(D235="","*",VLOOKUP(AI235,BS_ATIVIDADE[#Data],3,FALSE))</f>
        <v>OUTROS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105-ZGP</v>
      </c>
      <c r="AN235" s="258" t="str">
        <f>IF(BS_CONTROLE[[#This Row],[SB]]=0, "-", BS_CONTROLE[[#This Row],[SB]])</f>
        <v>ZGP1 / 105ZGP1</v>
      </c>
      <c r="AO235" s="259">
        <f>IF(BS_CONTROLE[[#This Row],[SUB]]=0, "-", BS_CONTROLE[[#This Row],[SUB]])</f>
        <v>54</v>
      </c>
      <c r="AP235" s="260">
        <f>IF(BS_CONTROLE[[#This Row],[KM - Inicio]]=0, "-", BS_CONTROLE[[#This Row],[KM - Inicio]])</f>
        <v>102</v>
      </c>
      <c r="AQ235" s="260">
        <f>IF(BS_CONTROLE[[#This Row],[KM - Fim]]=0, "-", BS_CONTROLE[[#This Row],[KM - Fim]])</f>
        <v>106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BINÁRIO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ZEV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V85</v>
      </c>
      <c r="B236" s="171"/>
      <c r="C236" s="8" t="str">
        <f>IF(BS_CONTROLE[[#This Row],[DATA]]="","",WEEKNUM(BS_CONTROLE[[#This Row],[DATA]]))</f>
        <v/>
      </c>
      <c r="D236" s="52" t="s">
        <v>513</v>
      </c>
      <c r="E236" s="294">
        <v>456</v>
      </c>
      <c r="F236" s="71" t="s">
        <v>448</v>
      </c>
      <c r="G236" s="9" t="str">
        <f>IF(D236="","*",VLOOKUP(F236,BS_ATIVIDADE[#All],3,FALSE))</f>
        <v>MODERNIZAÇÃO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MODERNIZAÇÃO - SOCADORA</v>
      </c>
      <c r="AJ236" s="9" t="str">
        <f>IF(D236="","*",VLOOKUP(AI236,BS_ATIVIDADE[#Data],3,FALSE))</f>
        <v>MODERNIZAÇÃO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>W62</v>
      </c>
      <c r="B237" s="171"/>
      <c r="C237" s="8" t="str">
        <f>IF(BS_CONTROLE[[#This Row],[DATA]]="","",WEEKNUM(BS_CONTROLE[[#This Row],[DATA]]))</f>
        <v/>
      </c>
      <c r="D237" s="52" t="s">
        <v>540</v>
      </c>
      <c r="E237" s="294">
        <v>457</v>
      </c>
      <c r="F237" s="71" t="s">
        <v>460</v>
      </c>
      <c r="G237" s="9" t="str">
        <f>IF(D237="","*",VLOOKUP(F237,BS_ATIVIDADE[#All],3,FALSE))</f>
        <v>OUTROS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BINÁRIO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BINÁRIO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4 O236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 AA218:AE220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0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5 D237" name="Range1_14_1_1_1_2"/>
    <protectedRange sqref="F46 F48 F125 F127 F235 F237" name="Range1_14_1_2_1_2"/>
    <protectedRange sqref="J48 J127" name="Range1_16_2_2"/>
    <protectedRange sqref="O48:Q48 O127:Q127" name="Range1_17_2_2"/>
    <protectedRange sqref="J46 J125 J235" name="Range1_16_2_3"/>
    <protectedRange sqref="O46:Q46 O125:Q125 O235:Q23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1281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1282</v>
      </c>
      <c r="C4" s="331" t="s">
        <v>1283</v>
      </c>
      <c r="D4" s="331" t="s">
        <v>1284</v>
      </c>
      <c r="E4" s="331" t="s">
        <v>1285</v>
      </c>
      <c r="F4" s="331" t="s">
        <v>8</v>
      </c>
      <c r="G4" s="331" t="s">
        <v>1286</v>
      </c>
    </row>
    <row r="5" spans="2:8">
      <c r="B5" s="334" t="s">
        <v>1147</v>
      </c>
      <c r="C5" s="334">
        <v>314978</v>
      </c>
      <c r="D5" s="334" t="s">
        <v>1287</v>
      </c>
      <c r="E5" s="334" t="s">
        <v>537</v>
      </c>
      <c r="F5" s="334" t="s">
        <v>101</v>
      </c>
      <c r="G5" s="335">
        <v>46143</v>
      </c>
    </row>
    <row r="6" spans="2:8">
      <c r="B6" s="334" t="s">
        <v>1288</v>
      </c>
      <c r="C6" s="334">
        <v>256790</v>
      </c>
      <c r="D6" s="334" t="s">
        <v>1289</v>
      </c>
      <c r="E6" s="334" t="s">
        <v>537</v>
      </c>
      <c r="F6" s="334" t="s">
        <v>1290</v>
      </c>
      <c r="G6" s="335">
        <v>45992</v>
      </c>
    </row>
    <row r="7" spans="2:8">
      <c r="B7" s="334" t="s">
        <v>1291</v>
      </c>
      <c r="C7" s="334">
        <v>265193</v>
      </c>
      <c r="D7" s="334" t="s">
        <v>1292</v>
      </c>
      <c r="E7" s="334" t="s">
        <v>538</v>
      </c>
      <c r="F7" s="334" t="s">
        <v>1293</v>
      </c>
      <c r="G7" s="334" t="s">
        <v>1294</v>
      </c>
    </row>
    <row r="8" spans="2:8">
      <c r="B8" s="334" t="s">
        <v>1295</v>
      </c>
      <c r="C8" s="334">
        <v>293716</v>
      </c>
      <c r="D8" s="334" t="s">
        <v>1296</v>
      </c>
      <c r="E8" s="334" t="s">
        <v>538</v>
      </c>
      <c r="F8" s="334" t="s">
        <v>1293</v>
      </c>
      <c r="G8" s="335">
        <v>46204</v>
      </c>
    </row>
    <row r="9" spans="2:8">
      <c r="B9" s="334" t="s">
        <v>1297</v>
      </c>
      <c r="C9" s="334">
        <v>257258</v>
      </c>
      <c r="D9" s="334" t="s">
        <v>1298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1299</v>
      </c>
      <c r="C10" s="334">
        <v>371147</v>
      </c>
      <c r="D10" s="334" t="s">
        <v>1300</v>
      </c>
      <c r="E10" s="334" t="s">
        <v>539</v>
      </c>
      <c r="F10" s="334" t="s">
        <v>144</v>
      </c>
      <c r="G10" s="334" t="s">
        <v>1294</v>
      </c>
    </row>
    <row r="11" spans="2:8">
      <c r="B11" s="334" t="s">
        <v>1301</v>
      </c>
      <c r="C11" s="334">
        <v>259230</v>
      </c>
      <c r="D11" s="334" t="s">
        <v>1302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1303</v>
      </c>
      <c r="C12" s="334">
        <v>370705</v>
      </c>
      <c r="D12" s="334"/>
      <c r="E12" s="334" t="s">
        <v>539</v>
      </c>
      <c r="F12" s="334" t="s">
        <v>144</v>
      </c>
      <c r="G12" s="334" t="s">
        <v>1294</v>
      </c>
    </row>
    <row r="13" spans="2:8">
      <c r="B13" s="334" t="s">
        <v>1304</v>
      </c>
      <c r="C13" s="334">
        <v>258542</v>
      </c>
      <c r="D13" s="334" t="s">
        <v>1305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1306</v>
      </c>
      <c r="C14" s="334">
        <v>257050</v>
      </c>
      <c r="D14" s="334" t="s">
        <v>1307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1308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1309</v>
      </c>
      <c r="E3" s="326" t="s">
        <v>1310</v>
      </c>
      <c r="F3" s="326" t="s">
        <v>1311</v>
      </c>
      <c r="G3" s="331" t="s">
        <v>1312</v>
      </c>
      <c r="H3" s="326" t="s">
        <v>1313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1314</v>
      </c>
      <c r="H4" s="329"/>
    </row>
    <row r="5" spans="3:8" ht="29.25">
      <c r="C5" s="327" t="s">
        <v>537</v>
      </c>
      <c r="D5" s="327" t="s">
        <v>1315</v>
      </c>
      <c r="E5" s="328">
        <v>46000</v>
      </c>
      <c r="F5" s="327">
        <v>9000</v>
      </c>
      <c r="G5" s="332" t="s">
        <v>1316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1317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1318</v>
      </c>
      <c r="G7" s="333" t="s">
        <v>1319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1320</v>
      </c>
      <c r="H8" s="327"/>
    </row>
    <row r="9" spans="3:8">
      <c r="C9" s="327" t="s">
        <v>464</v>
      </c>
      <c r="D9" s="327" t="s">
        <v>1321</v>
      </c>
      <c r="E9" s="328">
        <v>45993</v>
      </c>
      <c r="F9" s="327">
        <v>12000</v>
      </c>
      <c r="G9" s="332" t="s">
        <v>1322</v>
      </c>
      <c r="H9" s="327"/>
    </row>
    <row r="10" spans="3:8" ht="29.25">
      <c r="C10" s="327" t="s">
        <v>464</v>
      </c>
      <c r="D10" s="327" t="s">
        <v>1323</v>
      </c>
      <c r="E10" s="328">
        <v>45993</v>
      </c>
      <c r="F10" s="327">
        <v>9000</v>
      </c>
      <c r="G10" s="332" t="s">
        <v>1324</v>
      </c>
      <c r="H10" s="327"/>
    </row>
    <row r="11" spans="3:8" ht="29.25">
      <c r="C11" s="327" t="s">
        <v>464</v>
      </c>
      <c r="D11" s="327" t="s">
        <v>1325</v>
      </c>
      <c r="E11" s="328">
        <v>45993</v>
      </c>
      <c r="F11" s="327">
        <v>10000</v>
      </c>
      <c r="G11" s="332" t="s">
        <v>1324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1326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1327</v>
      </c>
      <c r="W1" s="396"/>
      <c r="X1" s="396"/>
      <c r="Y1" s="104"/>
    </row>
    <row r="2" spans="1:25" s="101" customFormat="1" ht="11.25" customHeight="1">
      <c r="A2" s="105" t="s">
        <v>1328</v>
      </c>
      <c r="B2" s="105" t="s">
        <v>1329</v>
      </c>
      <c r="C2" s="105" t="s">
        <v>313</v>
      </c>
      <c r="D2" s="106" t="s">
        <v>869</v>
      </c>
      <c r="E2" s="106" t="s">
        <v>870</v>
      </c>
      <c r="F2" s="106" t="s">
        <v>1330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1331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MOD ZRB ZEV</v>
      </c>
      <c r="H225" s="110" t="str">
        <f>IF(SP_SUL!F227="","*",SP_SUL!F227)</f>
        <v>BLOCO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V96</v>
      </c>
      <c r="H226" s="110" t="str">
        <f>IF(SP_SUL!F228="","*",SP_SUL!F228)</f>
        <v>MODERNIZAÇÃO - SOCADORA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W97</v>
      </c>
      <c r="H227" s="110" t="str">
        <f>IF(SP_SUL!F229="","*",SP_SUL!F229)</f>
        <v>MODERNIZAÇÃO - PEDRA - DESCARGA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W96</v>
      </c>
      <c r="H228" s="110" t="str">
        <f>IF(SP_SUL!F230="","*",SP_SUL!F230)</f>
        <v>MODERNIZAÇÃO - DORMENTE - DESCARGA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 t="str">
        <f>IF(SP_SUL!B232="","*",SP_SUL!B232)</f>
        <v>*</v>
      </c>
      <c r="G230" s="110" t="str">
        <f>IF(SP_SUL!D232="","*",SP_SUL!D232)</f>
        <v>EDSON (TP-719)</v>
      </c>
      <c r="H230" s="110" t="str">
        <f>IF(SP_SUL!F232="","*",SP_SUL!F232)</f>
        <v>PDM - ALÍVIO DE TENSÃO</v>
      </c>
      <c r="I230" s="110" t="str">
        <f>IF(SP_SUL!H232="","*",SP_SUL!H232)</f>
        <v>-</v>
      </c>
      <c r="J230" s="110" t="str">
        <f>IF(SP_SUL!I232="","*",SP_SUL!I232)</f>
        <v>-</v>
      </c>
      <c r="K230" s="110" t="str">
        <f>IF(SP_SUL!M232="","*",SP_SUL!M232)</f>
        <v>ZEZ-069</v>
      </c>
      <c r="L230" s="339" t="str">
        <f>IF(SP_SUL!N232="","*",SP_SUL!N232)</f>
        <v>K72K712</v>
      </c>
      <c r="M230" s="111">
        <f>IF(SP_SUL!J232="","*",SP_SUL!J232)</f>
        <v>92</v>
      </c>
      <c r="N230" s="270">
        <f>IF(SP_SUL!K232="","*",SP_SUL!K232)</f>
        <v>71.7</v>
      </c>
      <c r="O230" s="270" t="str">
        <f>IF(SP_SUL!L232="","*",SP_SUL!L232)</f>
        <v>-</v>
      </c>
      <c r="P230" s="111"/>
      <c r="Q230" s="128">
        <f>IF(SP_SUL!O232="","*",SP_SUL!O232)</f>
        <v>0.45833333333333331</v>
      </c>
      <c r="R230" s="128">
        <f>IF(SP_SUL!P232="","*",SP_SUL!P232)</f>
        <v>8.3333333333333329E-2</v>
      </c>
      <c r="S230" s="110" t="str">
        <f>IF(SP_SUL!Q232="","*",CONCATENATE(SP_SUL!Q232," ",SP_SUL!R232))</f>
        <v>300 M</v>
      </c>
      <c r="T230" s="110" t="str">
        <f>IF(SP_SUL!V232="","*",SP_SUL!V232)</f>
        <v>Moisés</v>
      </c>
      <c r="U230" s="110" t="str">
        <f>IF(SP_SUL!W232="","*",SP_SUL!W232)</f>
        <v>Alívio de tensão - Condicionado à temperatura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ZEV-ZPT</v>
      </c>
      <c r="F231" s="110" t="str">
        <f>IF(SP_SUL!B233="","*",SP_SUL!B233)</f>
        <v>*</v>
      </c>
      <c r="G231" s="110" t="str">
        <f>IF(SP_SUL!D233="","*",SP_SUL!D233)</f>
        <v>WILLIAN (TP-811)</v>
      </c>
      <c r="H231" s="110" t="str">
        <f>IF(SP_SUL!F233="","*",SP_SUL!F233)</f>
        <v>PDM - SUBSTITUIÇÃO - TRILHO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ZXW</v>
      </c>
      <c r="L231" s="339" t="str">
        <f>IF(SP_SUL!N233="","*",SP_SUL!N233)</f>
        <v>ZESK852</v>
      </c>
      <c r="M231" s="111">
        <f>IF(SP_SUL!J233="","*",SP_SUL!J233)</f>
        <v>92</v>
      </c>
      <c r="N231" s="270">
        <f>IF(SP_SUL!K233="","*",SP_SUL!K233)</f>
        <v>85.3</v>
      </c>
      <c r="O231" s="270" t="str">
        <f>IF(SP_SUL!L233="","*",SP_SUL!L233)</f>
        <v>-</v>
      </c>
      <c r="P231" s="111"/>
      <c r="Q231" s="128">
        <f>IF(SP_SUL!O233="","*",SP_SUL!O233)</f>
        <v>0.45833333333333331</v>
      </c>
      <c r="R231" s="128">
        <f>IF(SP_SUL!P233="","*",SP_SUL!P233)</f>
        <v>6.25E-2</v>
      </c>
      <c r="S231" s="110" t="str">
        <f>IF(SP_SUL!Q233="","*",CONCATENATE(SP_SUL!Q233," ",SP_SUL!R233))</f>
        <v>100 M</v>
      </c>
      <c r="T231" s="110" t="str">
        <f>IF(SP_SUL!V233="","*",SP_SUL!V233)</f>
        <v>Moisés</v>
      </c>
      <c r="U231" s="110" t="str">
        <f>IF(SP_SUL!W233="","*",SP_SUL!W233)</f>
        <v>PDM - Substituição de trilho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HUELTON (TP-725)</v>
      </c>
      <c r="H232" s="110" t="str">
        <f>IF(SP_SUL!F234="","*",SP_SUL!F234)</f>
        <v>PDM - SOLDA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MOD ZGP</v>
      </c>
      <c r="H233" s="110" t="str">
        <f>IF(SP_SUL!F235="","*",SP_SUL!F235)</f>
        <v>BLOCO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105-ZGP</v>
      </c>
      <c r="L233" s="339" t="str">
        <f>IF(SP_SUL!N235="","*",SP_SUL!N235)</f>
        <v>ZGP1 / 105ZGP1</v>
      </c>
      <c r="M233" s="111">
        <f>IF(SP_SUL!J235="","*",SP_SUL!J235)</f>
        <v>54</v>
      </c>
      <c r="N233" s="270">
        <f>IF(SP_SUL!K235="","*",SP_SUL!K235)</f>
        <v>102</v>
      </c>
      <c r="O233" s="270">
        <f>IF(SP_SUL!L235="","*",SP_SUL!L235)</f>
        <v>106</v>
      </c>
      <c r="P233" s="111"/>
      <c r="Q233" s="128">
        <f>IF(SP_SUL!O235="","*",SP_SUL!O235)</f>
        <v>0.33333333333333331</v>
      </c>
      <c r="R233" s="128">
        <f>IF(SP_SUL!P235="","*",SP_SUL!P235)</f>
        <v>0.22916666666666666</v>
      </c>
      <c r="S233" s="110" t="str">
        <f>IF(SP_SUL!Q235="","*",CONCATENATE(SP_SUL!Q235," ",SP_SUL!R235))</f>
        <v>1 BINÁRIO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V85</v>
      </c>
      <c r="H234" s="110" t="str">
        <f>IF(SP_SUL!F236="","*",SP_SUL!F236)</f>
        <v>MODERNIZAÇÃO - SOCADORA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W62</v>
      </c>
      <c r="H235" s="110" t="str">
        <f>IF(SP_SUL!F237="","*",SP_SUL!F237)</f>
        <v>OUTRAS ATIVIDADES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1332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1333</v>
      </c>
      <c r="D5" s="398"/>
      <c r="E5" s="398"/>
      <c r="F5" s="398"/>
      <c r="G5" s="398"/>
      <c r="H5" s="398"/>
      <c r="I5" s="398"/>
      <c r="J5" s="399"/>
      <c r="K5" s="400" t="s">
        <v>1334</v>
      </c>
      <c r="L5" s="401"/>
      <c r="M5" s="401"/>
      <c r="N5" s="401"/>
      <c r="O5" s="402" t="s">
        <v>1335</v>
      </c>
      <c r="P5" s="403"/>
      <c r="Q5" s="404"/>
    </row>
    <row r="6" spans="1:17" s="94" customFormat="1" ht="15.75" customHeight="1">
      <c r="A6" s="88" t="s">
        <v>1330</v>
      </c>
      <c r="B6" s="95" t="s">
        <v>1329</v>
      </c>
      <c r="C6" s="96" t="s">
        <v>869</v>
      </c>
      <c r="D6" s="97" t="s">
        <v>870</v>
      </c>
      <c r="E6" s="96" t="s">
        <v>1336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1337</v>
      </c>
      <c r="M6" s="139" t="s">
        <v>335</v>
      </c>
      <c r="N6" s="140" t="s">
        <v>864</v>
      </c>
      <c r="O6" s="246" t="s">
        <v>907</v>
      </c>
      <c r="P6" s="157"/>
      <c r="Q6" s="193" t="s">
        <v>1338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MOD ZRB ZEV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W97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W96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EDSON (TP-719)</v>
      </c>
      <c r="F232" s="100" t="str">
        <f>IF(SP_SUL!H232="","*",SP_SUL!H232)</f>
        <v>-</v>
      </c>
      <c r="G232" s="100" t="str">
        <f>IF(SP_SUL!M232="","*",SP_SUL!M232)</f>
        <v>ZEZ-069</v>
      </c>
      <c r="H232" s="154">
        <f>IF(SP_SUL!K232="","*",SP_SUL!K232)</f>
        <v>71.7</v>
      </c>
      <c r="I232" s="132">
        <f>IF(SP_SUL!O232="","*",SP_SUL!O232)</f>
        <v>0.45833333333333331</v>
      </c>
      <c r="J232" s="132">
        <f>IF(SP_SUL!P232="","*",SP_SUL!P232)</f>
        <v>8.3333333333333329E-2</v>
      </c>
      <c r="K232" s="141" t="str">
        <f>IF(SP_SUL!AK232="","*",SP_SUL!AK232)</f>
        <v>-</v>
      </c>
      <c r="L232" s="141" t="str">
        <f>IF(SP_SUL!AM232="","*",SP_SUL!AM232)</f>
        <v>ZEZ-069</v>
      </c>
      <c r="M232" s="141">
        <f>IF(SP_SUL!AP232="","*",SP_SUL!AP232)</f>
        <v>71.7</v>
      </c>
      <c r="N232" s="141" t="str">
        <f>IF(SP_SUL!AM232="","*",SP_SUL!AM232)</f>
        <v>ZEZ-069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ZEV-ZPT</v>
      </c>
      <c r="E233" s="100" t="str">
        <f>IF(SP_SUL!D233="","*",SP_SUL!D233)</f>
        <v>WILLIAN (TP-811)</v>
      </c>
      <c r="F233" s="100" t="str">
        <f>IF(SP_SUL!H233="","*",SP_SUL!H233)</f>
        <v>-</v>
      </c>
      <c r="G233" s="100" t="str">
        <f>IF(SP_SUL!M233="","*",SP_SUL!M233)</f>
        <v>ZXW</v>
      </c>
      <c r="H233" s="154">
        <f>IF(SP_SUL!K233="","*",SP_SUL!K233)</f>
        <v>85.3</v>
      </c>
      <c r="I233" s="132">
        <f>IF(SP_SUL!O233="","*",SP_SUL!O233)</f>
        <v>0.45833333333333331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ZXW</v>
      </c>
      <c r="M233" s="141">
        <f>IF(SP_SUL!AP233="","*",SP_SUL!AP233)</f>
        <v>85.3</v>
      </c>
      <c r="N233" s="141" t="str">
        <f>IF(SP_SUL!AM233="","*",SP_SUL!AM233)</f>
        <v>ZXW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HUELTON (TP-725)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MOD ZGP</v>
      </c>
      <c r="F235" s="100" t="str">
        <f>IF(SP_SUL!H235="","*",SP_SUL!H235)</f>
        <v>-</v>
      </c>
      <c r="G235" s="100" t="str">
        <f>IF(SP_SUL!M235="","*",SP_SUL!M235)</f>
        <v>105-ZGP</v>
      </c>
      <c r="H235" s="154">
        <f>IF(SP_SUL!K235="","*",SP_SUL!K235)</f>
        <v>102</v>
      </c>
      <c r="I235" s="132">
        <f>IF(SP_SUL!O235="","*",SP_SUL!O235)</f>
        <v>0.33333333333333331</v>
      </c>
      <c r="J235" s="132">
        <f>IF(SP_SUL!P235="","*",SP_SUL!P235)</f>
        <v>0.22916666666666666</v>
      </c>
      <c r="K235" s="141" t="str">
        <f>IF(SP_SUL!AK235="","*",SP_SUL!AK235)</f>
        <v>-</v>
      </c>
      <c r="L235" s="141" t="str">
        <f>IF(SP_SUL!AM235="","*",SP_SUL!AM235)</f>
        <v>105-ZGP</v>
      </c>
      <c r="M235" s="141">
        <f>IF(SP_SUL!AP235="","*",SP_SUL!AP235)</f>
        <v>102</v>
      </c>
      <c r="N235" s="141" t="str">
        <f>IF(SP_SUL!AM235="","*",SP_SUL!AM235)</f>
        <v>105-ZGP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V85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W62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1339</v>
      </c>
      <c r="C2" s="96" t="s">
        <v>854</v>
      </c>
      <c r="D2" s="96" t="s">
        <v>856</v>
      </c>
      <c r="E2" s="96" t="s">
        <v>1340</v>
      </c>
      <c r="F2" s="96" t="s">
        <v>1341</v>
      </c>
      <c r="G2" s="96" t="s">
        <v>1342</v>
      </c>
      <c r="H2" s="96" t="s">
        <v>1343</v>
      </c>
      <c r="I2" s="96" t="s">
        <v>1344</v>
      </c>
      <c r="J2" s="96" t="s">
        <v>1345</v>
      </c>
      <c r="K2" s="131" t="s">
        <v>1346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MOD ZRB ZEV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W97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W96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EDSON (TP-719)</v>
      </c>
      <c r="E215" s="121" t="str">
        <f>IF(SP_SUL!H232="","*",SP_SUL!H232)</f>
        <v>-</v>
      </c>
      <c r="F215" s="137" t="str">
        <f>IF(SP_SUL!M232="","*",SP_SUL!M232)</f>
        <v>ZEZ-069</v>
      </c>
      <c r="G215" s="121" t="str">
        <f>IF(SP_SUL!I232="","*",SP_SUL!I232)</f>
        <v>-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WILLIAN (TP-811)</v>
      </c>
      <c r="E216" s="121" t="str">
        <f>IF(SP_SUL!H233="","*",SP_SUL!H233)</f>
        <v>-</v>
      </c>
      <c r="F216" s="137" t="str">
        <f>IF(SP_SUL!M233="","*",SP_SUL!M233)</f>
        <v>ZXW</v>
      </c>
      <c r="G216" s="121" t="str">
        <f>IF(SP_SUL!I233="","*",SP_SUL!I233)</f>
        <v>-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HUELTON (TP-725)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MOD ZGP</v>
      </c>
      <c r="E218" s="121" t="str">
        <f>IF(SP_SUL!H235="","*",SP_SUL!H235)</f>
        <v>-</v>
      </c>
      <c r="F218" s="137" t="str">
        <f>IF(SP_SUL!M235="","*",SP_SUL!M235)</f>
        <v>105-ZGP</v>
      </c>
      <c r="G218" s="121" t="str">
        <f>IF(SP_SUL!I235="","*",SP_SUL!I235)</f>
        <v>-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V85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W62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2025-12-09T16:17:14Z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