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966" documentId="8_{B6337239-1A00-434D-AAD0-422EA1FEB5AE}" xr6:coauthVersionLast="47" xr6:coauthVersionMax="47" xr10:uidLastSave="{55F582E3-0A9E-466C-BD80-57A6D98CFA4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59" i="1" l="1"/>
  <c r="BT157" i="1"/>
  <c r="BT156" i="1"/>
  <c r="BT153" i="1"/>
  <c r="BT152" i="1"/>
  <c r="BT150" i="1"/>
  <c r="BT147" i="1"/>
  <c r="BT146" i="1"/>
  <c r="N159" i="1" a="1"/>
  <c r="N159" i="1"/>
  <c r="M174" i="1" a="1"/>
  <c r="M174" i="1"/>
  <c r="N174" i="1" a="1"/>
  <c r="N174" i="1"/>
  <c r="M175" i="1" a="1"/>
  <c r="M175" i="1"/>
  <c r="N175" i="1" a="1"/>
  <c r="N175" i="1"/>
  <c r="M176" i="1" a="1"/>
  <c r="M176" i="1"/>
  <c r="N176" i="1" a="1"/>
  <c r="N176" i="1"/>
  <c r="S174" i="1" a="1"/>
  <c r="S174" i="1"/>
  <c r="T174" i="1" a="1"/>
  <c r="T174" i="1"/>
  <c r="S175" i="1" a="1"/>
  <c r="S175" i="1"/>
  <c r="T175" i="1" a="1"/>
  <c r="T175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4" i="1" a="1"/>
  <c r="M134" i="1"/>
  <c r="N134" i="1" a="1"/>
  <c r="N134" i="1"/>
  <c r="L132" i="16" s="1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E130" i="16" s="1"/>
  <c r="S132" i="1" a="1"/>
  <c r="S132" i="1"/>
  <c r="D130" i="16" s="1"/>
  <c r="R132" i="1"/>
  <c r="R130" i="16" s="1"/>
  <c r="N132" i="1" a="1"/>
  <c r="N132" i="1"/>
  <c r="M132" i="1" a="1"/>
  <c r="M132" i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E144" i="16" s="1"/>
  <c r="S146" i="1" a="1"/>
  <c r="S146" i="1"/>
  <c r="D144" i="16" s="1"/>
  <c r="R146" i="1"/>
  <c r="R144" i="16" s="1"/>
  <c r="N146" i="1" a="1"/>
  <c r="N146" i="1"/>
  <c r="M146" i="1" a="1"/>
  <c r="M146" i="1"/>
  <c r="G146" i="1"/>
  <c r="C146" i="1"/>
  <c r="A146" i="1"/>
  <c r="A151" i="1"/>
  <c r="C151" i="1"/>
  <c r="G151" i="1"/>
  <c r="R151" i="1"/>
  <c r="S151" i="1" a="1"/>
  <c r="S151" i="1"/>
  <c r="D149" i="16" s="1"/>
  <c r="T151" i="1" a="1"/>
  <c r="T151" i="1"/>
  <c r="E149" i="16" s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6" i="1"/>
  <c r="G154" i="1"/>
  <c r="G155" i="1"/>
  <c r="G157" i="1"/>
  <c r="G158" i="1"/>
  <c r="G159" i="1"/>
  <c r="G148" i="1"/>
  <c r="G160" i="1"/>
  <c r="G161" i="1"/>
  <c r="G162" i="1"/>
  <c r="G163" i="1"/>
  <c r="G164" i="1"/>
  <c r="A152" i="1"/>
  <c r="A156" i="1"/>
  <c r="A154" i="1"/>
  <c r="A155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6" i="1"/>
  <c r="U154" i="1"/>
  <c r="U155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6" i="1"/>
  <c r="AY154" i="1"/>
  <c r="AY155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8" i="16" s="1"/>
  <c r="R130" i="1"/>
  <c r="R128" i="16" s="1"/>
  <c r="S130" i="1" a="1"/>
  <c r="S130" i="1" s="1"/>
  <c r="D128" i="16" s="1"/>
  <c r="T130" i="1" a="1"/>
  <c r="T130" i="1" s="1"/>
  <c r="E128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9" i="16" s="1"/>
  <c r="R131" i="1"/>
  <c r="R129" i="16" s="1"/>
  <c r="S131" i="1" a="1"/>
  <c r="S131" i="1" s="1"/>
  <c r="D129" i="16" s="1"/>
  <c r="T131" i="1" a="1"/>
  <c r="T131" i="1" s="1"/>
  <c r="E129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R138" i="16" s="1"/>
  <c r="S140" i="1" a="1"/>
  <c r="S140" i="1" s="1"/>
  <c r="D138" i="16" s="1"/>
  <c r="T140" i="1" a="1"/>
  <c r="T140" i="1" s="1"/>
  <c r="E138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1" i="16" s="1"/>
  <c r="R143" i="1"/>
  <c r="R141" i="16" s="1"/>
  <c r="S143" i="1" a="1"/>
  <c r="S143" i="1" s="1"/>
  <c r="D141" i="16" s="1"/>
  <c r="T143" i="1" a="1"/>
  <c r="T143" i="1" s="1"/>
  <c r="E141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2" i="16" s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S150" i="1" a="1"/>
  <c r="S150" i="1" s="1"/>
  <c r="D148" i="16" s="1"/>
  <c r="T150" i="1" a="1"/>
  <c r="T150" i="1" s="1"/>
  <c r="E148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C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C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K156" i="1"/>
  <c r="K172" i="11" s="1"/>
  <c r="AL156" i="1"/>
  <c r="AO156" i="1"/>
  <c r="BE156" i="1" s="1"/>
  <c r="AP156" i="1"/>
  <c r="M172" i="11" s="1"/>
  <c r="AQ156" i="1"/>
  <c r="BC156" i="1" a="1"/>
  <c r="BC156" i="1" s="1"/>
  <c r="BF156" i="1"/>
  <c r="BR156" i="1"/>
  <c r="BS156" i="1"/>
  <c r="C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3" i="11" s="1"/>
  <c r="AL154" i="1"/>
  <c r="AO154" i="1"/>
  <c r="BE154" i="1" s="1"/>
  <c r="AP154" i="1"/>
  <c r="M173" i="11" s="1"/>
  <c r="AQ154" i="1"/>
  <c r="BC154" i="1" a="1"/>
  <c r="BC154" i="1" s="1"/>
  <c r="BF154" i="1"/>
  <c r="BR154" i="1"/>
  <c r="BS154" i="1"/>
  <c r="BT154" i="1"/>
  <c r="C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4" i="11" s="1"/>
  <c r="AL155" i="1"/>
  <c r="AO155" i="1"/>
  <c r="BE155" i="1" s="1"/>
  <c r="AP155" i="1"/>
  <c r="M174" i="11" s="1"/>
  <c r="AQ155" i="1"/>
  <c r="BC155" i="1" a="1"/>
  <c r="BC155" i="1" s="1"/>
  <c r="BF155" i="1"/>
  <c r="BR155" i="1"/>
  <c r="BS155" i="1"/>
  <c r="BT155" i="1"/>
  <c r="C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C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C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R168" i="1"/>
  <c r="S168" i="1" a="1"/>
  <c r="S168" i="1" s="1"/>
  <c r="D166" i="16" s="1"/>
  <c r="T168" i="1" a="1"/>
  <c r="T168" i="1" s="1"/>
  <c r="E166" i="16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K169" i="16"/>
  <c r="L169" i="16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K171" i="16"/>
  <c r="L171" i="16"/>
  <c r="R173" i="1"/>
  <c r="S173" i="1" a="1"/>
  <c r="S173" i="1" s="1"/>
  <c r="D171" i="16" s="1"/>
  <c r="T173" i="1" a="1"/>
  <c r="T173" i="1" s="1"/>
  <c r="E171" i="16" s="1"/>
  <c r="AI173" i="1"/>
  <c r="BB173" i="1" s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K172" i="16"/>
  <c r="L172" i="16"/>
  <c r="R174" i="1"/>
  <c r="D172" i="16"/>
  <c r="E172" i="16"/>
  <c r="AI174" i="1"/>
  <c r="BB174" i="1" s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K173" i="16"/>
  <c r="L173" i="16"/>
  <c r="R175" i="1"/>
  <c r="D173" i="16"/>
  <c r="E173" i="16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K174" i="16"/>
  <c r="L174" i="16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73" i="1" l="1"/>
  <c r="AJ174" i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K200" i="16"/>
  <c r="F200" i="13"/>
  <c r="K197" i="16"/>
  <c r="F197" i="13"/>
  <c r="F194" i="13"/>
  <c r="F191" i="13"/>
  <c r="F188" i="13"/>
  <c r="F182" i="13"/>
  <c r="K201" i="16"/>
  <c r="F201" i="13"/>
  <c r="K198" i="16"/>
  <c r="F198" i="13"/>
  <c r="K195" i="16"/>
  <c r="F195" i="13"/>
  <c r="F192" i="13"/>
  <c r="F189" i="13"/>
  <c r="F183" i="13"/>
  <c r="F180" i="13"/>
  <c r="F179" i="13"/>
  <c r="K199" i="16"/>
  <c r="F199" i="13"/>
  <c r="K196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6" i="1"/>
  <c r="F141" i="13"/>
  <c r="K144" i="16"/>
  <c r="AN146" i="1"/>
  <c r="L144" i="16"/>
  <c r="AM132" i="1"/>
  <c r="F127" i="13"/>
  <c r="K130" i="16"/>
  <c r="AN132" i="1"/>
  <c r="L130" i="16"/>
  <c r="F129" i="13"/>
  <c r="K132" i="16"/>
  <c r="AJ71" i="1"/>
  <c r="BB153" i="1"/>
  <c r="AJ153" i="1"/>
  <c r="BE153" i="1"/>
  <c r="BD153" i="1" a="1"/>
  <c r="BD153" i="1" s="1"/>
  <c r="AJ162" i="1"/>
  <c r="U146" i="16"/>
  <c r="U147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6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4" i="1" a="1"/>
  <c r="BD154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6" i="1" a="1"/>
  <c r="BD156" i="1" s="1"/>
  <c r="BD155" i="1" a="1"/>
  <c r="BD155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L202" i="11"/>
  <c r="N202" i="11"/>
  <c r="C202" i="11"/>
  <c r="G202" i="11"/>
  <c r="C200" i="11"/>
  <c r="AM182" i="1"/>
  <c r="G200" i="11"/>
  <c r="C198" i="11"/>
  <c r="AM180" i="1"/>
  <c r="G198" i="11"/>
  <c r="C197" i="11"/>
  <c r="AM179" i="1"/>
  <c r="G197" i="11"/>
  <c r="D196" i="11"/>
  <c r="AN178" i="1"/>
  <c r="C195" i="11"/>
  <c r="AM177" i="1"/>
  <c r="G195" i="11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C194" i="11"/>
  <c r="AM176" i="1"/>
  <c r="G194" i="11"/>
  <c r="C193" i="11"/>
  <c r="AM175" i="1"/>
  <c r="G193" i="11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C204" i="11"/>
  <c r="AM186" i="1"/>
  <c r="G204" i="11"/>
  <c r="D203" i="11"/>
  <c r="AN185" i="1"/>
  <c r="D202" i="11"/>
  <c r="AN184" i="1"/>
  <c r="C201" i="11"/>
  <c r="AM183" i="1"/>
  <c r="G201" i="11"/>
  <c r="D200" i="11"/>
  <c r="AN182" i="1"/>
  <c r="C199" i="11"/>
  <c r="AM181" i="1"/>
  <c r="G199" i="11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D191" i="11"/>
  <c r="C191" i="11"/>
  <c r="AN173" i="1"/>
  <c r="AM173" i="1"/>
  <c r="G191" i="11"/>
  <c r="D190" i="11"/>
  <c r="C190" i="11"/>
  <c r="AN172" i="1"/>
  <c r="AM172" i="1"/>
  <c r="G190" i="11"/>
  <c r="L189" i="11"/>
  <c r="N189" i="11"/>
  <c r="D189" i="11"/>
  <c r="C189" i="11"/>
  <c r="AN171" i="1"/>
  <c r="G189" i="11"/>
  <c r="D188" i="11"/>
  <c r="C188" i="11"/>
  <c r="AN170" i="1"/>
  <c r="AM170" i="1"/>
  <c r="G188" i="11"/>
  <c r="D187" i="11"/>
  <c r="C187" i="11"/>
  <c r="AN169" i="1"/>
  <c r="AM169" i="1"/>
  <c r="G187" i="11"/>
  <c r="D186" i="11"/>
  <c r="C186" i="11"/>
  <c r="AN168" i="1"/>
  <c r="AM168" i="1"/>
  <c r="G186" i="11"/>
  <c r="D185" i="11"/>
  <c r="C185" i="11"/>
  <c r="AN167" i="1"/>
  <c r="AM167" i="1"/>
  <c r="G185" i="11"/>
  <c r="D184" i="11"/>
  <c r="C184" i="11"/>
  <c r="AN166" i="1"/>
  <c r="AM166" i="1"/>
  <c r="G184" i="11"/>
  <c r="D183" i="11"/>
  <c r="C183" i="11"/>
  <c r="AN165" i="1"/>
  <c r="AM165" i="1"/>
  <c r="G183" i="11"/>
  <c r="D182" i="11"/>
  <c r="C182" i="11"/>
  <c r="AN164" i="1"/>
  <c r="AM164" i="1"/>
  <c r="G182" i="11"/>
  <c r="D181" i="11"/>
  <c r="C181" i="11"/>
  <c r="AN163" i="1"/>
  <c r="AM163" i="1"/>
  <c r="G181" i="11"/>
  <c r="D180" i="11"/>
  <c r="C180" i="11"/>
  <c r="AN162" i="1"/>
  <c r="AM162" i="1"/>
  <c r="G180" i="11"/>
  <c r="D179" i="11"/>
  <c r="C179" i="11"/>
  <c r="AN161" i="1"/>
  <c r="AM161" i="1"/>
  <c r="G179" i="11"/>
  <c r="D178" i="11"/>
  <c r="C178" i="11"/>
  <c r="AN160" i="1"/>
  <c r="AM160" i="1"/>
  <c r="G178" i="11"/>
  <c r="D177" i="11"/>
  <c r="C177" i="11"/>
  <c r="AN159" i="1"/>
  <c r="AM159" i="1"/>
  <c r="G177" i="11"/>
  <c r="D176" i="11"/>
  <c r="C176" i="11"/>
  <c r="AN158" i="1"/>
  <c r="AM158" i="1"/>
  <c r="G176" i="11"/>
  <c r="D175" i="11"/>
  <c r="C175" i="11"/>
  <c r="AN157" i="1"/>
  <c r="AM157" i="1"/>
  <c r="G175" i="11"/>
  <c r="D174" i="11"/>
  <c r="C174" i="11"/>
  <c r="AN155" i="1"/>
  <c r="AM155" i="1"/>
  <c r="G174" i="11"/>
  <c r="D173" i="11"/>
  <c r="C173" i="11"/>
  <c r="AN154" i="1"/>
  <c r="AM154" i="1"/>
  <c r="G173" i="11"/>
  <c r="D172" i="11"/>
  <c r="C172" i="11"/>
  <c r="AN156" i="1"/>
  <c r="AM156" i="1"/>
  <c r="G172" i="11"/>
  <c r="D171" i="11"/>
  <c r="C171" i="11"/>
  <c r="AN152" i="1"/>
  <c r="AM152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5" i="1"/>
  <c r="BQ154" i="1"/>
  <c r="BQ156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8" i="16" l="1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8" i="16" l="1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<sst xmlns="http://schemas.openxmlformats.org/spreadsheetml/2006/main" count="6074" uniqueCount="1647">
  <si>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</si>
  <si>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</si>
  <si>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</si>
  <si>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</si>
  <si>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</si>
  <si>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</si>
  <si>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</si>
  <si>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</si>
  <si>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</si>
  <si>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</si>
  <si>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</si>
  <si>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</si>
  <si>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</si>
  <si>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</si>
  <si>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</si>
  <si>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</si>
  <si>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</si>
  <si>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</si>
  <si>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</si>
  <si>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</si>
  <si>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</si>
  <si>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</si>
  <si>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</si>
  <si>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</si>
  <si>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</si>
  <si>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</si>
  <si>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</si>
  <si>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</si>
  <si>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</si>
  <si>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</si>
  <si>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</si>
  <si>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</si>
  <si>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</si>
  <si>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</si>
  <si>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</si>
  <si>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</si>
  <si>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</si>
  <si>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</si>
  <si>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</si>
  <si>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</si>
  <si>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</si>
  <si>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</si>
  <si>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</si>
  <si>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</si>
  <si>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</si>
  <si>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</si>
  <si>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</si>
  <si>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</si>
  <si>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</si>
  <si>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</si>
  <si>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</si>
  <si>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</si>
  <si>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</si>
  <si>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</si>
  <si>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</si>
  <si>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</si>
  <si>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</si>
  <si>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</si>
  <si>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</si>
  <si>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</si>
  <si>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</si>
  <si>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</si>
  <si>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</si>
  <si>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</si>
  <si>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</si>
  <si>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</si>
  <si>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</si>
  <si>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</si>
  <si>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</si>
  <si>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</si>
  <si>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</si>
  <si>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</si>
  <si>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</si>
  <si>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</si>
  <si>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</si>
  <si>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</si>
  <si>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</si>
  <si>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</si>
  <si>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</si>
  <si>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</si>
  <si>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</si>
  <si>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</si>
  <si>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</si>
  <si>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</si>
  <si>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</si>
  <si>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</si>
  <si>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</si>
  <si>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</si>
  <si>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</si>
  <si>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</si>
  <si>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</si>
  <si>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</si>
  <si>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</si>
  <si>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</si>
  <si>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</si>
  <si>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</si>
  <si>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</si>
  <si>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</si>
  <si>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</si>
  <si>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</si>
  <si>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</si>
  <si>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</si>
  <si>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</si>
  <si>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</si>
  <si>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</si>
  <si>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</si>
  <si>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</si>
  <si>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</si>
  <si>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</si>
  <si>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</si>
  <si>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</si>
  <si>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</si>
  <si>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</si>
  <si>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</si>
  <si>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</si>
  <si>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</si>
  <si>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</si>
  <si>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</si>
  <si>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</si>
  <si>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</si>
  <si>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</si>
  <si>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</si>
  <si>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</si>
  <si>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</si>
  <si>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</si>
  <si>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</si>
  <si>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</si>
  <si>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</si>
  <si>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</si>
  <si>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</si>
  <si>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</si>
  <si>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</si>
  <si>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</si>
  <si>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</si>
  <si>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</si>
  <si>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</si>
  <si>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</si>
  <si>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</si>
  <si>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</si>
  <si>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</si>
  <si>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</si>
  <si>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</si>
  <si>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</si>
  <si>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</si>
  <si>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</si>
  <si>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</si>
  <si>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</si>
  <si>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</si>
  <si>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</si>
  <si>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</si>
  <si>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</si>
  <si>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</si>
  <si>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</si>
  <si>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</si>
  <si>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</si>
  <si>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</si>
  <si>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</si>
  <si>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</si>
  <si>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</si>
  <si>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</si>
  <si>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</si>
  <si>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</si>
  <si>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</si>
  <si>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</si>
  <si>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</si>
  <si>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</si>
  <si>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</si>
  <si>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</si>
  <si>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</si>
  <si>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</si>
  <si>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</si>
  <si>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</si>
  <si>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</si>
  <si>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</si>
  <si>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</si>
  <si>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</si>
  <si>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</si>
  <si>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</si>
  <si>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</si>
  <si>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</si>
  <si>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</si>
  <si>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</si>
  <si>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</si>
  <si>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</si>
  <si>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</si>
  <si>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</si>
  <si>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</si>
  <si>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</si>
  <si>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</si>
  <si>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</si>
  <si>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</si>
  <si>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</si>
  <si>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</si>
  <si>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</si>
  <si>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</si>
  <si>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</si>
  <si>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</si>
  <si>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</si>
  <si>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</si>
  <si>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</si>
  <si>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</si>
  <si>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</si>
  <si>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</si>
  <si>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</si>
  <si>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</si>
  <si>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</si>
  <si>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</si>
  <si>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</si>
  <si>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</si>
  <si>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</si>
  <si>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</si>
  <si>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</si>
  <si>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</si>
  <si>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</si>
  <si>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</si>
  <si>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</si>
  <si>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</si>
  <si>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</si>
  <si>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</si>
  <si>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</si>
  <si>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</si>
  <si>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</si>
  <si>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</si>
  <si>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</si>
  <si>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</si>
  <si>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</si>
  <si>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</si>
  <si>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</si>
  <si>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</si>
  <si>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</si>
  <si>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</si>
  <si>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</si>
  <si>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</si>
  <si>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</si>
  <si>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</si>
  <si>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</si>
  <si>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</si>
  <si>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</si>
  <si>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</si>
  <si>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</si>
  <si>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</si>
  <si>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</si>
  <si>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</si>
  <si>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</si>
  <si>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</si>
  <si>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</si>
  <si>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</si>
  <si>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</si>
  <si>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</si>
  <si>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</si>
  <si>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</si>
  <si>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</si>
  <si>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</si>
  <si>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</si>
  <si>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</si>
  <si>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</si>
  <si>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</si>
  <si>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</si>
  <si>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</si>
  <si>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</si>
  <si>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</si>
  <si>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</si>
  <si>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</si>
  <si>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</si>
  <si>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</si>
  <si>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</si>
  <si>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</si>
  <si>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</si>
  <si>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</si>
  <si>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</si>
  <si>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</si>
  <si>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</si>
  <si>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</si>
  <si>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</si>
  <si>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</si>
  <si>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</si>
  <si>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</si>
  <si>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</si>
  <si>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</si>
  <si>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</si>
  <si>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</si>
  <si>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</si>
  <si>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</si>
  <si>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</si>
  <si>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</si>
  <si>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</si>
  <si>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</si>
  <si>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</si>
  <si>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</si>
  <si>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</si>
  <si>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</si>
  <si>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</si>
  <si>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</si>
  <si>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</si>
  <si>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</si>
  <si>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</si>
  <si>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</si>
  <si>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</si>
  <si>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</si>
  <si>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</si>
  <si>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</si>
  <si>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</si>
  <si>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</si>
  <si>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</si>
  <si>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</si>
  <si>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</si>
  <si>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</si>
  <si>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</si>
  <si>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</si>
  <si>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</si>
  <si>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</si>
  <si>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</si>
  <si>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</si>
  <si>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</si>
  <si>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</si>
  <si>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</si>
  <si>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</si>
  <si>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</si>
  <si>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</si>
  <si>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</si>
  <si>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</si>
  <si>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</si>
  <si>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</si>
  <si>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</si>
  <si>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</si>
  <si>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</si>
  <si>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</si>
  <si>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</si>
  <si>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</si>
  <si>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</si>
  <si>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</si>
  <si>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</si>
  <si>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</si>
  <si>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</si>
  <si>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</si>
  <si>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</si>
  <si>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</si>
  <si>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</si>
  <si>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</si>
  <si>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</si>
  <si>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</si>
  <si>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</si>
  <si>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</si>
  <si>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</si>
  <si>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</si>
  <si>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</si>
  <si>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</si>
  <si>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</si>
  <si>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</si>
  <si>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</si>
  <si>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</si>
  <si>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</si>
  <si>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</si>
  <si>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</si>
  <si>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</si>
  <si>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</si>
  <si>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</si>
  <si>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</si>
  <si>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</si>
  <si>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</si>
  <si>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</si>
  <si>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</si>
  <si>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</si>
  <si>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</si>
  <si>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</si>
  <si>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</si>
  <si>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</si>
  <si>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</si>
  <si>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</si>
  <si>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</si>
  <si>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</si>
  <si>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</si>
  <si>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</si>
  <si>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</si>
  <si>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</si>
  <si>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</si>
  <si>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</si>
  <si>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</si>
  <si>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</si>
  <si>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</si>
  <si>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</si>
  <si>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</si>
  <si>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</si>
  <si>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</si>
  <si>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</si>
  <si>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</si>
  <si>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</si>
  <si>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</si>
  <si>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</si>
  <si>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</si>
  <si>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</si>
  <si>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</si>
  <si>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</si>
  <si>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</si>
  <si>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</si>
  <si>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</si>
  <si>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</si>
  <si>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</si>
  <si>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</si>
  <si>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</si>
  <si>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</si>
  <si>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</si>
  <si>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</si>
  <si>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</si>
  <si>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</si>
  <si>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</si>
  <si>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</si>
  <si>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</si>
  <si>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</si>
  <si>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</si>
  <si>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</si>
  <si>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</si>
  <si>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</si>
  <si>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</si>
  <si>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</si>
  <si>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</si>
  <si>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</si>
  <si>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</si>
  <si>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</si>
  <si>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</si>
  <si>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</si>
  <si>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</si>
  <si>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</si>
  <si>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</si>
  <si>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</si>
  <si>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</si>
  <si>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</si>
  <si>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</si>
  <si>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</si>
  <si>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</si>
  <si>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</si>
  <si>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</si>
  <si>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</si>
  <si>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</si>
  <si>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</si>
  <si>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</si>
  <si>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</si>
  <si>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</si>
  <si>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</si>
  <si>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</si>
  <si>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</si>
  <si>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</si>
  <si>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</si>
  <si>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</si>
  <si>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</si>
  <si>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</si>
  <si>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</si>
  <si>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</si>
  <si>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</si>
  <si>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</si>
  <si>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</si>
  <si>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</si>
  <si>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</si>
  <si>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</si>
  <si>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</si>
  <si>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</si>
  <si>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</si>
  <si>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</si>
  <si>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</si>
  <si>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</si>
  <si>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</si>
  <si>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</si>
  <si>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</si>
  <si>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</si>
  <si>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</si>
  <si>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</si>
  <si>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</si>
  <si>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</si>
  <si>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</si>
  <si>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</si>
  <si>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</si>
  <si>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</si>
  <si>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</si>
  <si>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</si>
  <si>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</si>
  <si>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</si>
  <si>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</si>
  <si>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</si>
  <si>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</si>
  <si>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</si>
  <si>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</si>
  <si>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</si>
  <si>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</si>
  <si>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</si>
  <si>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</si>
  <si>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</si>
  <si>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</si>
  <si>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</si>
  <si>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</si>
  <si>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</si>
  <si>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</si>
  <si>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</si>
  <si>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</si>
  <si>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</si>
  <si>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</si>
  <si>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</si>
  <si>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</si>
  <si>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</si>
  <si>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</si>
  <si>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</si>
  <si>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</si>
  <si>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</si>
  <si>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</si>
  <si>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</si>
  <si>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</si>
  <si>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</si>
  <si>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</si>
  <si>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</si>
  <si>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</si>
  <si>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</si>
  <si>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</si>
  <si>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</si>
  <si>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</si>
  <si>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</si>
  <si>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</si>
  <si>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</si>
  <si>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</si>
  <si>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</si>
  <si>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</si>
  <si>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</si>
  <si>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</si>
  <si>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</si>
  <si>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</si>
  <si>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</si>
  <si>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</si>
  <si>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</si>
  <si>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</si>
  <si>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</si>
  <si>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</si>
  <si>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</si>
  <si>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</si>
  <si>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</si>
  <si>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</si>
  <si>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</si>
  <si>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</si>
  <si>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</si>
  <si>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</si>
  <si>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</si>
  <si>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</si>
  <si>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</si>
  <si>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</si>
  <si>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</si>
  <si>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</si>
  <si>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</si>
  <si>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</si>
  <si>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</si>
  <si>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</si>
  <si>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</si>
  <si>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</si>
  <si>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</si>
  <si>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</si>
  <si>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</si>
  <si>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</si>
  <si>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</si>
  <si>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</si>
  <si>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</si>
  <si>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</si>
  <si>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</si>
  <si>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</si>
  <si>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</si>
  <si>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</si>
  <si>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</si>
  <si>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</si>
  <si>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</si>
  <si>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</si>
  <si>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</si>
  <si>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</si>
  <si>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</si>
  <si>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</si>
  <si>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</si>
  <si>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</si>
  <si>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</si>
  <si>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</si>
  <si>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</si>
  <si>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</si>
  <si>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</si>
  <si>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</si>
  <si>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</si>
  <si>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</si>
  <si>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</si>
  <si>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</si>
  <si>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</si>
  <si>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</si>
  <si>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</si>
  <si>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</si>
  <si>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</si>
  <si>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</si>
  <si>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</si>
  <si>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</si>
  <si>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</si>
  <si>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</si>
  <si>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</si>
  <si>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</si>
  <si>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</si>
  <si>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</si>
  <si>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</si>
  <si>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</si>
  <si>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</si>
  <si>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</si>
  <si>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</si>
  <si>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</si>
  <si>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</si>
  <si>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</si>
  <si>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</si>
  <si>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</si>
  <si>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</si>
  <si>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</si>
  <si>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</si>
  <si>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</si>
  <si>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</si>
  <si>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</si>
  <si>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</si>
  <si>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</si>
  <si>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</si>
  <si>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</si>
  <si>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</si>
  <si>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</si>
  <si>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</si>
  <si>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</si>
  <si>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</si>
  <si>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</si>
  <si>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</si>
  <si>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</si>
  <si>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</si>
  <si>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</si>
  <si>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</si>
  <si>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</si>
  <si>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</si>
  <si>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</si>
  <si>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</si>
  <si>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</si>
  <si>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</si>
  <si>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</si>
  <si>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</si>
  <si>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</si>
  <si>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</si>
  <si>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</si>
  <si>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</si>
  <si>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</si>
  <si>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</si>
  <si>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</si>
  <si>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</si>
  <si>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</si>
  <si>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</si>
  <si>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</si>
  <si>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</si>
  <si>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</si>
  <si>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</si>
  <si>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</si>
  <si>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</si>
  <si>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</si>
  <si>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</si>
  <si>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</si>
  <si>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</si>
  <si>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</si>
  <si>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</si>
  <si>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</si>
  <si>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</si>
  <si>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</si>
  <si>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</si>
  <si>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</si>
  <si>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</si>
  <si>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</si>
  <si>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</si>
  <si>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</si>
  <si>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</si>
  <si>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</si>
  <si>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</si>
  <si>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</si>
  <si>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</si>
  <si>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</si>
  <si>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</si>
  <si>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</si>
  <si>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</si>
  <si>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</si>
  <si>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</si>
  <si>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</si>
  <si>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</si>
  <si>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</si>
  <si>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</si>
  <si>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</si>
  <si>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</si>
  <si>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</si>
  <si>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</si>
  <si>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</si>
  <si>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</si>
  <si>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</si>
  <si>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</si>
  <si>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</si>
  <si>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</si>
  <si>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</si>
  <si>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</si>
  <si>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</si>
  <si>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</si>
  <si>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</si>
  <si>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</si>
  <si>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</si>
  <si>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</si>
  <si>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</si>
  <si>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</si>
  <si>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</si>
  <si>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</si>
  <si>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</si>
  <si>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</si>
  <si>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</si>
  <si>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</si>
  <si>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</si>
  <si>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</si>
  <si>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</si>
  <si>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</si>
  <si>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</si>
  <si>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</si>
  <si>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</si>
  <si>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</si>
  <si>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</si>
  <si>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</si>
  <si>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</si>
  <si>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</si>
  <si>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</si>
  <si>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</si>
  <si>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</si>
  <si>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</si>
  <si>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</si>
  <si>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</si>
  <si>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</si>
  <si>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</si>
  <si>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</si>
  <si>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</si>
  <si>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</si>
  <si>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</si>
  <si>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</si>
  <si>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</si>
  <si>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</si>
  <si>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</si>
  <si>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</si>
  <si>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</si>
  <si>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</si>
  <si>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</si>
  <si>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</si>
  <si>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</si>
  <si>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</si>
  <si>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</si>
  <si>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</si>
  <si>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</si>
  <si>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</si>
  <si>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</si>
  <si>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</si>
  <si>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</si>
  <si>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</si>
  <si>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</si>
  <si>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</si>
  <si>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</si>
  <si>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</si>
  <si>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</si>
  <si>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</si>
  <si>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</si>
  <si>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</si>
  <si>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</si>
  <si>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</si>
  <si>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</si>
  <si>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</si>
  <si>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</si>
  <si>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</si>
  <si>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</si>
  <si>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</si>
  <si>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</si>
  <si>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</si>
  <si>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</si>
  <si>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</si>
  <si>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</si>
  <si>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</si>
  <si>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</si>
  <si>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</si>
  <si>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</si>
  <si>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</si>
  <si>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</si>
  <si>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</si>
  <si>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</si>
  <si>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</si>
  <si>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</si>
  <si>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</si>
  <si>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</si>
  <si>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</si>
  <si>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</si>
  <si>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</si>
  <si>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</si>
  <si>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</si>
  <si>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</si>
  <si>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</si>
  <si>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</si>
  <si>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</si>
  <si>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</si>
  <si>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</si>
  <si>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</si>
  <si>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</si>
  <si>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</si>
  <si>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</si>
  <si>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</si>
  <si>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</si>
  <si>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</si>
  <si>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</si>
  <si>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</si>
  <si>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</si>
  <si>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</si>
  <si>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</si>
  <si>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</si>
  <si>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</si>
  <si>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</si>
  <si>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</si>
  <si>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</si>
  <si>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</si>
  <si>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</si>
  <si>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</si>
  <si>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</si>
  <si>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</si>
  <si>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</si>
  <si>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</si>
  <si>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</si>
  <si>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</si>
  <si>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</si>
  <si>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</si>
  <si>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</si>
  <si>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</si>
  <si>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</si>
  <si>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</si>
  <si>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</si>
  <si>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</si>
  <si>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</si>
  <si>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</si>
  <si>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</si>
  <si>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</si>
  <si>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</si>
  <si>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</si>
  <si>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</si>
  <si>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</si>
  <si>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</si>
  <si>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</si>
  <si>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</si>
  <si>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</si>
  <si>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</si>
  <si>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</si>
  <si>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</si>
  <si>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</si>
  <si>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</si>
  <si>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</si>
  <si>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</si>
  <si>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</si>
  <si>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</si>
  <si>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</si>
  <si>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</si>
  <si>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</si>
  <si>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</si>
  <si>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</si>
  <si>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</si>
  <si>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</si>
  <si>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</si>
  <si>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</si>
  <si>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</si>
  <si>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</si>
  <si>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</si>
  <si>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</si>
  <si>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</si>
  <si>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</si>
  <si>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</si>
  <si>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</si>
  <si>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</si>
  <si>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</si>
  <si>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</si>
  <si>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</si>
  <si>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</si>
  <si>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</si>
  <si>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</si>
  <si>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</si>
  <si>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</si>
  <si>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</si>
  <si>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</si>
  <si>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</si>
  <si>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</si>
  <si>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</si>
  <si>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</si>
  <si>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</si>
  <si>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</si>
  <si>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</si>
  <si>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</si>
  <si>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</si>
  <si>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</si>
  <si>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</si>
  <si>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</si>
  <si>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</si>
  <si>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</si>
  <si>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</si>
  <si>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</si>
  <si>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</si>
  <si>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</si>
  <si>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</si>
  <si>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</si>
  <si>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</si>
  <si>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</si>
  <si>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</si>
  <si>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</si>
  <si>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</si>
  <si>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</si>
  <si>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</si>
  <si>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</si>
  <si>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</si>
  <si>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</si>
  <si>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</si>
  <si>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</si>
  <si>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</si>
  <si>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</si>
  <si>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</si>
  <si>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</si>
  <si>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</si>
  <si>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</si>
  <si>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</si>
  <si>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</si>
  <si>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</si>
  <si>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</si>
  <si>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</si>
  <si>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</si>
  <si>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</si>
  <si>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</si>
  <si>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</si>
  <si>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</si>
  <si>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</si>
  <si>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</si>
  <si>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</si>
  <si>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</si>
  <si>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</si>
  <si>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</si>
  <si>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</si>
  <si>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</si>
  <si>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</si>
  <si>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</si>
  <si>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</si>
  <si>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</si>
  <si>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</si>
  <si>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</si>
  <si>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</si>
  <si>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</si>
  <si>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</si>
  <si>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</si>
  <si>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</si>
  <si>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</si>
  <si>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</si>
  <si>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</si>
  <si>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</si>
  <si>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</si>
  <si>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</si>
  <si>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</si>
  <si>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</si>
  <si>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</si>
  <si>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</si>
  <si>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</si>
  <si>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</si>
  <si>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</si>
  <si>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</si>
  <si>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</si>
  <si>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</si>
  <si>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</si>
  <si>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</si>
  <si>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</si>
  <si>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</si>
  <si>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</si>
  <si>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</si>
  <si>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</si>
  <si>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</si>
  <si>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</si>
  <si>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</si>
  <si>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</si>
  <si>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</si>
  <si>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</si>
  <si>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</si>
  <si>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</si>
  <si>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</si>
  <si>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</si>
  <si>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</si>
  <si>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</si>
  <si>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</si>
  <si>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</si>
  <si>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</si>
  <si>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</si>
  <si>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</si>
  <si>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</si>
  <si>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</si>
  <si>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</si>
  <si>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</si>
  <si>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</si>
  <si>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</si>
  <si>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</si>
  <si>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</si>
  <si>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</si>
  <si>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</si>
  <si>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</si>
  <si>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</si>
  <si>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</si>
  <si>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</si>
  <si>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</si>
  <si>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</si>
  <si>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</si>
  <si>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</si>
  <si>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</si>
  <si>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</si>
  <si>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</si>
  <si>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</si>
  <si>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</si>
  <si>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</si>
  <si>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</si>
  <si>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</si>
  <si>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</si>
  <si>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</si>
  <si>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</si>
  <si>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</si>
  <si>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</si>
  <si>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</si>
  <si>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</si>
  <si>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</si>
  <si>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</si>
  <si>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</si>
  <si>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</si>
  <si>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</si>
  <si>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</si>
  <si>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</si>
  <si>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</si>
  <si>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</si>
  <si>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</si>
  <si>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</si>
  <si>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</si>
  <si>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</si>
  <si>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</si>
  <si>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</si>
  <si>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</si>
  <si>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</si>
  <si>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</si>
  <si>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</si>
  <si>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</si>
  <si>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</si>
  <si>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</si>
  <si>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</si>
  <si>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</si>
  <si>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</si>
  <si>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</si>
  <si>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</si>
  <si>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</si>
  <si>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</si>
  <si>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</si>
  <si>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</si>
  <si>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</si>
  <si>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</si>
  <si>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</si>
  <si>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</si>
  <si>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</si>
  <si>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</si>
  <si>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</si>
  <si>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</si>
  <si>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</si>
  <si>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</si>
  <si>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</si>
  <si>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</si>
  <si>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</si>
  <si>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</si>
  <si>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</si>
  <si>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</si>
  <si>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</si>
  <si>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</si>
  <si>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</si>
  <si>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</si>
  <si>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</si>
  <si>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</si>
  <si>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</si>
  <si>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</si>
  <si>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</si>
  <si>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</si>
  <si>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</si>
  <si>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</si>
  <si>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</si>
  <si>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</si>
  <si>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</si>
  <si>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</si>
  <si>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</si>
  <si>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</si>
  <si>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</si>
  <si>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</si>
  <si>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</si>
  <si>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</si>
  <si>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</si>
  <si>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</si>
  <si>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</si>
  <si>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</si>
  <si>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</si>
  <si>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</si>
  <si>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</si>
  <si>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</si>
  <si>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</si>
  <si>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</si>
  <si>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</si>
  <si>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</si>
  <si>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</si>
  <si>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</si>
  <si>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</si>
  <si>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</si>
  <si>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</si>
  <si>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</si>
  <si>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</si>
  <si>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</si>
  <si>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</si>
  <si>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</si>
  <si>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</si>
  <si>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</si>
  <si>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</si>
  <si>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</si>
  <si>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</si>
  <si>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</si>
  <si>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</si>
  <si>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</si>
  <si>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</si>
  <si>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</si>
  <si>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</si>
  <si>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</si>
  <si>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</si>
  <si>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</si>
  <si>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</si>
  <si>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</si>
  <si>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</si>
  <si>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</si>
  <si>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</si>
  <si>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</si>
  <si>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</si>
  <si>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</si>
  <si>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</si>
  <si>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</si>
  <si>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</si>
  <si>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</si>
  <si>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</si>
  <si>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</si>
  <si>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</si>
  <si>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</si>
  <si>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</si>
  <si>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</si>
  <si>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</si>
  <si>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</si>
  <si>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</si>
  <si>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</si>
  <si>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</si>
  <si>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</si>
  <si>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</si>
  <si>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</si>
  <si>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</si>
  <si>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</si>
  <si>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</si>
  <si>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</si>
  <si>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</si>
  <si>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</si>
  <si>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</si>
  <si>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</si>
  <si>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</si>
  <si>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</si>
  <si>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</si>
  <si>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</si>
  <si>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</si>
  <si>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</si>
  <si>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</si>
  <si>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</si>
  <si>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</si>
  <si>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</si>
  <si>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</si>
  <si>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</si>
  <si>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</si>
  <si>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</si>
  <si>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</si>
  <si>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</si>
  <si>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</si>
  <si>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</si>
  <si>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</si>
  <si>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</si>
  <si>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</si>
  <si>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</si>
  <si>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</si>
  <si>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</si>
  <si>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</si>
  <si>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</si>
  <si>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</si>
  <si>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</si>
  <si>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</si>
  <si>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</si>
  <si>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</si>
  <si>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</si>
  <si>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</si>
  <si>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</si>
  <si>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</si>
  <si>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</si>
  <si>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</si>
  <si>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</si>
  <si>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</si>
  <si>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</si>
  <si>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</si>
  <si>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</si>
  <si>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</si>
  <si>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</si>
  <si>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</si>
  <si>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</si>
  <si>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</si>
  <si>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</si>
  <si>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</si>
  <si>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</si>
  <si>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</si>
  <si>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</si>
  <si>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</si>
  <si>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</si>
  <si>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</si>
  <si>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</si>
  <si>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</si>
  <si>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</si>
  <si>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</si>
  <si>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</si>
  <si>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</si>
  <si>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</si>
  <si>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</si>
  <si>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</si>
  <si>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</si>
  <si>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</si>
  <si>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</si>
  <si>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</si>
  <si>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</si>
  <si>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</si>
  <si>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</si>
  <si>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</si>
  <si>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</si>
  <si>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</si>
  <si>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</si>
  <si>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</si>
  <si>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</si>
  <si>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</si>
  <si>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</si>
  <si>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</si>
  <si>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</si>
  <si>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</si>
  <si>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</si>
  <si>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</si>
  <si>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</si>
  <si>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</si>
  <si>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</si>
  <si>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</si>
  <si>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</si>
  <si>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</si>
  <si>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</si>
  <si>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</si>
  <si>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</si>
  <si>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</si>
  <si>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</si>
  <si>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</si>
  <si>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</si>
  <si>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</si>
  <si>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</si>
  <si>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</si>
  <si>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</si>
  <si>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</si>
  <si>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</si>
  <si>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</si>
  <si>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</si>
  <si>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</si>
  <si>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</si>
  <si>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</si>
  <si>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</si>
  <si>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</si>
  <si>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</si>
  <si>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</si>
  <si>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</si>
  <si>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</si>
  <si>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</si>
  <si>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</si>
  <si>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</si>
  <si>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</si>
  <si>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</si>
  <si>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</si>
  <si>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</si>
  <si>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</si>
  <si>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</si>
  <si>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</si>
  <si>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</si>
  <si>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</si>
  <si>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</si>
  <si>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</si>
  <si>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</si>
  <si>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</si>
  <si>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</si>
  <si>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</si>
  <si>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</si>
  <si>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</si>
  <si>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</si>
  <si>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</si>
  <si>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</si>
  <si>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</si>
  <si>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</si>
  <si>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</si>
  <si>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</si>
  <si>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</si>
  <si>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</si>
  <si>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</si>
  <si>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</si>
  <si>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</si>
  <si>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</si>
  <si>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</si>
  <si>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</si>
  <si>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</si>
  <si>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</si>
  <si>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</si>
  <si>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</si>
  <si>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</si>
  <si>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</si>
  <si>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</si>
  <si>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</si>
  <si>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</si>
  <si>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</si>
  <si>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</si>
  <si>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</si>
  <si>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</si>
  <si>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</si>
  <si>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</si>
  <si>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</si>
  <si>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</si>
  <si>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</si>
  <si>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</si>
  <si>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</si>
  <si>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</si>
  <si>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</si>
  <si>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</si>
  <si>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</si>
  <si>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</si>
  <si>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</si>
  <si>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</si>
  <si>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</si>
  <si>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</si>
  <si>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</si>
  <si>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</si>
  <si>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</si>
  <si>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</si>
  <si>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</si>
  <si>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</si>
  <si>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</si>
  <si>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</si>
  <si>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</si>
  <si>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</si>
  <si>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</si>
  <si>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</si>
  <si>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</si>
  <si>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</si>
  <si>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</si>
  <si>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</si>
  <si>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</si>
  <si>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</si>
  <si>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</si>
  <si>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</si>
  <si>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</si>
  <si>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</si>
  <si>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</si>
  <si>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</si>
  <si>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</si>
  <si>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</si>
  <si>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</si>
  <si>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</si>
  <si>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</si>
  <si>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</si>
  <si>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</si>
  <si>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</si>
  <si>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</si>
  <si>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</si>
  <si>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</si>
  <si>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</si>
  <si>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</si>
  <si>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</si>
  <si>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</si>
  <si>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</si>
  <si>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</si>
  <si>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</si>
  <si>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</si>
  <si>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</si>
  <si>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</si>
  <si>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</si>
  <si>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</si>
  <si>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</si>
  <si>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</si>
  <si>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</si>
  <si>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</si>
  <si>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</si>
  <si>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</si>
  <si>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</si>
  <si>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</si>
  <si>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</si>
  <si>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</si>
  <si>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</si>
  <si>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</si>
  <si>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</si>
  <si>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</si>
  <si>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</si>
  <si>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</si>
  <si>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</si>
  <si>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</si>
  <si>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</si>
  <si>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</si>
  <si>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</si>
  <si>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</si>
  <si>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</si>
  <si>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</si>
  <si>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</si>
  <si>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</si>
  <si>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</si>
  <si>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</si>
  <si>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</si>
  <si>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</si>
  <si>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</si>
  <si>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</si>
  <si>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</si>
  <si>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</si>
  <si>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</si>
  <si>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</si>
  <si>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</si>
  <si>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</si>
  <si>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</si>
  <si>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</si>
  <si>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</si>
  <si>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</si>
  <si>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</si>
  <si>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</si>
  <si>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</si>
  <si>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</si>
  <si>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</si>
  <si>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</si>
  <si>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</si>
  <si>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</si>
  <si>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</si>
  <si>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</si>
  <si>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</si>
  <si>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</si>
  <si>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</si>
  <si>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</si>
  <si>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</si>
  <si>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</si>
  <si>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</si>
  <si>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</si>
  <si>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</si>
  <si>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</si>
  <si>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</si>
  <si>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</si>
  <si>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</si>
  <si>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</si>
  <si>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</si>
  <si>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</si>
  <si>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</si>
  <si>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</si>
  <si>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</si>
  <si>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</si>
  <si>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</si>
  <si>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</si>
  <si>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</si>
  <si>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</si>
  <si>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</si>
  <si>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</si>
  <si>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</si>
  <si>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</si>
  <si>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</si>
  <si>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</si>
  <si>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</si>
  <si>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</si>
  <si>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</si>
  <si>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</si>
  <si>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</si>
  <si>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</si>
  <si>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</si>
  <si>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</si>
  <si>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</si>
  <si>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</si>
  <si>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</si>
  <si>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</si>
  <si>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</si>
  <si>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</si>
  <si>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</si>
  <si>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</si>
  <si>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</si>
  <si>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</si>
  <si>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</si>
  <si>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</si>
  <si>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</si>
  <si>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</si>
  <si>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</si>
  <si>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</si>
  <si>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</si>
  <si>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</si>
  <si>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</si>
  <si>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</si>
  <si>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</si>
  <si>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</si>
  <si>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</si>
  <si>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</si>
  <si>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</si>
  <si>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</si>
  <si>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</si>
  <si>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</si>
  <si>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</si>
  <si>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</si>
  <si>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</si>
  <si>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</si>
  <si>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</si>
  <si>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</si>
  <si>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</si>
  <si>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</si>
  <si>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</si>
  <si>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</si>
  <si>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</si>
  <si>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</si>
  <si>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</si>
  <si>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</si>
  <si>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</si>
  <si>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</si>
  <si>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</si>
  <si>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</si>
  <si>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</si>
  <si>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</si>
  <si>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</si>
  <si>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</si>
  <si>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</si>
  <si>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</si>
  <si>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</si>
  <si>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</si>
  <si>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</si>
  <si>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</si>
  <si>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</si>
  <si>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</si>
  <si>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</si>
  <si>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</si>
  <si>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</si>
  <si>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</si>
  <si>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</si>
  <si>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</si>
  <si>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</si>
  <si>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</si>
  <si>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</si>
  <si>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</si>
  <si>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</si>
  <si>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</si>
  <si>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</si>
  <si>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</si>
  <si>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</si>
  <si>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</si>
  <si>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</si>
  <si>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</si>
  <si>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</si>
  <si>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</si>
  <si>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</si>
  <si>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</si>
  <si>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</si>
  <si>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</si>
  <si>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</si>
  <si>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</si>
  <si>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</si>
  <si>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</si>
  <si>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</si>
  <si>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</si>
  <si>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</si>
  <si>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</si>
  <si>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</si>
  <si>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</si>
  <si>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</si>
  <si>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</si>
  <si>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</si>
  <si>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</si>
  <si>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</si>
  <si>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</si>
  <si>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</si>
  <si>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</t>
  </si>
  <si>
    <t xml:space="preserve">TIQ </t>
  </si>
  <si>
    <t xml:space="preserve">Desacarga de pedra </t>
  </si>
  <si>
    <t>Manobrando prancha para embarcar máquina</t>
  </si>
  <si>
    <t>Previsão de pronto as 9h</t>
  </si>
  <si>
    <t>TCS-TIN</t>
  </si>
  <si>
    <t>TCSTIN</t>
  </si>
  <si>
    <t>Previsão de MC1 as 08:30h</t>
  </si>
  <si>
    <t>Efraim</t>
  </si>
  <si>
    <t>2 (Maicon e Eder)</t>
  </si>
  <si>
    <t>ZSF</t>
  </si>
  <si>
    <t>ZSF-TVI</t>
  </si>
  <si>
    <t>ZSFTVI</t>
  </si>
  <si>
    <t>Ezequiel</t>
  </si>
  <si>
    <t>Deslocamento de ZSF para TVI</t>
  </si>
  <si>
    <t>TAP-TIN</t>
  </si>
  <si>
    <t>TAPTIN</t>
  </si>
  <si>
    <t>Douglas</t>
  </si>
  <si>
    <t>Deslocamento de TAP para TIN</t>
  </si>
  <si>
    <t xml:space="preserve">MC1 as 08:16 </t>
  </si>
  <si>
    <t>ZIQ</t>
  </si>
  <si>
    <t>Vieira</t>
  </si>
  <si>
    <t>Teste V97</t>
  </si>
  <si>
    <t>Previsão de MC1 as 9h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</si>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</sst>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AM1" activePane="topRight" state="frozen"/>
      <selection pane="topRight" activeCell="AN790" sqref="AN79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 hidden="1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 hidden="1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CCOCirculaçãoIntervaloContrato</v>
      </c>
    </row>
    <row r="135" spans="1:72" hidden="1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>
        <v>0.70833333333333337</v>
      </c>
      <c r="AU135" s="32"/>
      <c r="AV135" s="32"/>
      <c r="AW135" s="32"/>
      <c r="AX135" s="32"/>
      <c r="AY135" s="184">
        <f>IF(D135="","*",IFERROR(IF(ISODD(COUNT(AS135:AX137)),"ERRO",SUM((AT135-AS135),(AV135-AU135),(AX135-AW135))),"ERRO"))</f>
        <v>8.333333333333337E-2</v>
      </c>
      <c r="AZ135" s="11"/>
      <c r="BA135" s="60">
        <v>20</v>
      </c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2</v>
      </c>
      <c r="BI135" s="14"/>
      <c r="BJ135" s="14" t="s">
        <v>1530</v>
      </c>
      <c r="BK135" s="14" t="s">
        <v>1531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Aderente</v>
      </c>
      <c r="BR135" s="15">
        <f t="shared" si="14"/>
        <v>1.0000000000000004</v>
      </c>
      <c r="BS135" s="15">
        <f t="shared" si="15"/>
        <v>1</v>
      </c>
      <c r="BT135" s="157" t="str">
        <f t="shared" si="16"/>
        <v>OKOK</v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 hidden="1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>
        <v>2698</v>
      </c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Intervalo</v>
      </c>
      <c r="BR143" s="15">
        <f t="shared" si="14"/>
        <v>0.50000000000000022</v>
      </c>
      <c r="BS143" s="15">
        <f t="shared" si="15"/>
        <v>1.349</v>
      </c>
      <c r="BT143" s="157" t="str">
        <f t="shared" si="16"/>
        <v>CCOCirculaçãoIntervaloContrato</v>
      </c>
    </row>
    <row r="144" spans="1:72" hidden="1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 hidden="1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 hidden="1">
      <c r="A146" s="202" t="str">
        <f>D146&amp;B146</f>
        <v>E1446066</v>
      </c>
      <c r="B146" s="203">
        <v>46066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>
        <v>0.83402777777777781</v>
      </c>
      <c r="AS146" s="208">
        <v>0.85486111111111107</v>
      </c>
      <c r="AT146" s="208">
        <v>0.89652777777777781</v>
      </c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4.1666666666666741E-2</v>
      </c>
      <c r="AZ146" s="11"/>
      <c r="BA146" s="60">
        <v>1</v>
      </c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>
        <v>2</v>
      </c>
      <c r="BI146" s="14"/>
      <c r="BJ146" s="209" t="s">
        <v>1551</v>
      </c>
      <c r="BK146" s="209" t="s">
        <v>1551</v>
      </c>
      <c r="BL146" s="13"/>
      <c r="BM146" s="12" t="s">
        <v>1029</v>
      </c>
      <c r="BN146" s="12" t="s">
        <v>1029</v>
      </c>
      <c r="BO146" s="130" t="s">
        <v>1029</v>
      </c>
      <c r="BP146" s="14" t="s">
        <v>11</v>
      </c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1.0000000000000018</v>
      </c>
      <c r="BS146" s="15">
        <f>IF(OR(B146="",F146=""),"*",BA146/Q146)</f>
        <v>1</v>
      </c>
      <c r="BT146" s="157" t="str">
        <f t="shared" si="16"/>
        <v>OKOK</v>
      </c>
    </row>
    <row r="147" spans="1:72" hidden="1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1552</v>
      </c>
      <c r="N147" s="149" t="s">
        <v>1553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1554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1555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1556</v>
      </c>
      <c r="N150" s="149" t="s">
        <v>1557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1558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>
        <v>0.39027777777777778</v>
      </c>
      <c r="AS150" s="32">
        <v>0.43194444444444446</v>
      </c>
      <c r="AT150" s="32">
        <v>0.47361111111111109</v>
      </c>
      <c r="AU150" s="32"/>
      <c r="AV150" s="32"/>
      <c r="AW150" s="32"/>
      <c r="AX150" s="32"/>
      <c r="AY150" s="184">
        <f>IF(D150="","*",IFERROR(IF(ISODD(COUNT(AS150:AX156)),"ERRO",SUM((AT150-AS150),(AV150-AU150),(AX150-AW150))),"ERRO"))</f>
        <v>4.166666666666663E-2</v>
      </c>
      <c r="AZ150" s="11"/>
      <c r="BA150" s="60">
        <v>1</v>
      </c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>
        <v>2</v>
      </c>
      <c r="BI150" s="14"/>
      <c r="BJ150" s="14" t="s">
        <v>1559</v>
      </c>
      <c r="BK150" s="14" t="s">
        <v>1559</v>
      </c>
      <c r="BL150" s="13"/>
      <c r="BM150" s="12" t="s">
        <v>1029</v>
      </c>
      <c r="BN150" s="12" t="s">
        <v>1029</v>
      </c>
      <c r="BO150" s="130" t="s">
        <v>1029</v>
      </c>
      <c r="BP150" s="14"/>
      <c r="BQ150" s="10" t="str">
        <f t="shared" si="13"/>
        <v>Intervalo</v>
      </c>
      <c r="BR150" s="15">
        <f t="shared" si="14"/>
        <v>0.99999999999999911</v>
      </c>
      <c r="BS150" s="15">
        <f t="shared" si="15"/>
        <v>1</v>
      </c>
      <c r="BT150" s="157" t="str">
        <f t="shared" si="16"/>
        <v>OKOK</v>
      </c>
    </row>
    <row r="151" spans="1:72" hidden="1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IF(D151="","*",IFERROR(IF(ISODD(COUNT(AS151:AX156)),"ERRO",SUM((AT151-AS151),(AV151-AU151),(AX151-AW151))),"ERRO"))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 hidden="1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>
        <v>0.31944444444444442</v>
      </c>
      <c r="AS152" s="32">
        <v>0.32291666666666669</v>
      </c>
      <c r="AT152" s="32">
        <v>0.38541666666666669</v>
      </c>
      <c r="AU152" s="32"/>
      <c r="AV152" s="32"/>
      <c r="AW152" s="32"/>
      <c r="AX152" s="32"/>
      <c r="AY152" s="184">
        <f>IF(D152="","*",IFERROR(IF(ISODD(COUNT(AS152:AX154)),"ERRO",SUM((AT152-AS152),(AV152-AU152),(AX152-AW152))),"ERRO"))</f>
        <v>6.25E-2</v>
      </c>
      <c r="AZ152" s="11"/>
      <c r="BA152" s="60">
        <v>2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>
        <v>2</v>
      </c>
      <c r="BI152" s="14"/>
      <c r="BJ152" s="14" t="s">
        <v>1560</v>
      </c>
      <c r="BK152" s="14" t="s">
        <v>1560</v>
      </c>
      <c r="BL152" s="13"/>
      <c r="BM152" s="12" t="s">
        <v>1029</v>
      </c>
      <c r="BN152" s="12" t="s">
        <v>1029</v>
      </c>
      <c r="BO152" s="130" t="s">
        <v>1029</v>
      </c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157" t="str">
        <f t="shared" si="16"/>
        <v>OKOK</v>
      </c>
    </row>
    <row r="153" spans="1:72" hidden="1">
      <c r="A153" s="202" t="s">
        <v>1561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1562</v>
      </c>
      <c r="W153" s="206" t="s">
        <v>1563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>
        <v>0.29166666666666669</v>
      </c>
      <c r="AS153" s="208">
        <v>0.33333333333333331</v>
      </c>
      <c r="AT153" s="208">
        <v>0.375</v>
      </c>
      <c r="AU153" s="208"/>
      <c r="AV153" s="208"/>
      <c r="AW153" s="208"/>
      <c r="AX153" s="32"/>
      <c r="AY153" s="184">
        <f>IF(D153="","*",IFERROR(IF(ISODD(COUNT(AS153:AX154)),"ERRO",SUM((AT153-AS153),(AV153-AU153),(AX153-AW153))),"ERRO"))</f>
        <v>4.1666666666666685E-2</v>
      </c>
      <c r="AZ153" s="11"/>
      <c r="BA153" s="60">
        <v>27</v>
      </c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>
        <v>2</v>
      </c>
      <c r="BI153" s="14"/>
      <c r="BJ153" s="226" t="s">
        <v>1564</v>
      </c>
      <c r="BK153" s="226" t="s">
        <v>1564</v>
      </c>
      <c r="BL153" s="13"/>
      <c r="BM153" s="12" t="s">
        <v>1029</v>
      </c>
      <c r="BN153" s="12" t="s">
        <v>1029</v>
      </c>
      <c r="BO153" s="130" t="s">
        <v>1029</v>
      </c>
      <c r="BP153" s="14"/>
      <c r="BQ153" s="10" t="str">
        <f>IF(AND(BR153&lt;1,BS153&lt;1),"Produção e Intervalo",IF(BR153&lt;1,"Intervalo",IF(BS153&lt;1,"Produção","Aderente")))</f>
        <v>Aderente</v>
      </c>
      <c r="BR153" s="15">
        <f>IF(OR(B153="",F153=""),"*",AY153/P153)</f>
        <v>1.0000000000000004</v>
      </c>
      <c r="BS153" s="15">
        <f>IF(OR(B153="",F153=""),"*",BA153/Q153)</f>
        <v>1</v>
      </c>
      <c r="BT153" s="157" t="str">
        <f t="shared" si="16"/>
        <v>OKOK</v>
      </c>
    </row>
    <row r="154" spans="1:72" hidden="1">
      <c r="A154" s="44" t="str">
        <f t="shared" si="19"/>
        <v/>
      </c>
      <c r="B154" s="133"/>
      <c r="C154" s="7" t="str">
        <f>IF(BS_CONTROLE[[#This Row],[DATA]]="","",WEEKNUM(BS_CONTROLE[[#This Row],[DATA]]))</f>
        <v/>
      </c>
      <c r="D154" s="45"/>
      <c r="E154" s="185">
        <v>167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IF(D154="","*",IFERROR(IF(ISODD(COUNT(AS154:AX157)),"ERRO",SUM((AT154-AS154),(AV154-AU154),(AX154-AW154))),"ERRO"))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IF(D155="","*",IFERROR(IF(ISODD(COUNT(AS155:AX158)),"ERRO",SUM((AT155-AS155),(AV155-AU155),(AX155-AW155))),"ERRO"))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>D156&amp;B156</f>
        <v>ELSON (TF-526)46067</v>
      </c>
      <c r="B156" s="133">
        <v>46067</v>
      </c>
      <c r="C156" s="7">
        <f>IF(BS_CONTROLE[[#This Row],[DATA]]="","",WEEKNUM(BS_CONTROLE[[#This Row],[DATA]]))</f>
        <v>7</v>
      </c>
      <c r="D156" s="45" t="s">
        <v>303</v>
      </c>
      <c r="E156" s="185">
        <v>166</v>
      </c>
      <c r="F156" s="134" t="s">
        <v>193</v>
      </c>
      <c r="G156" s="8" t="str">
        <f>IF(D156="","*",VLOOKUP(F156,BS_ATIVIDADE[#All],3,FALSE))</f>
        <v>SOLDA</v>
      </c>
      <c r="H156" s="135" t="s">
        <v>531</v>
      </c>
      <c r="I156" s="135" t="s">
        <v>11</v>
      </c>
      <c r="J156" s="151">
        <v>74</v>
      </c>
      <c r="K156" s="151">
        <v>396.94</v>
      </c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6" s="135">
        <v>0.375</v>
      </c>
      <c r="P156" s="135">
        <v>6.25E-2</v>
      </c>
      <c r="Q156" s="71">
        <v>1</v>
      </c>
      <c r="R156" s="9" t="str">
        <f>IFERROR(_xlfn.XLOOKUP(F156, BS_ATIVIDADE[ATIVIDADE],BS_ATIVIDADE[UNIDADE] ), "*")</f>
        <v>Nº DE SOLDA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BASE_MAPA!$B$2:$B$420, BASE_MAPA!$G$2:$G$420), "ERRO")</f>
        <v>MARCO INICIAL - ALTO ARAGUAIA</v>
      </c>
      <c r="V156" s="143" t="s">
        <v>1287</v>
      </c>
      <c r="W156" s="135" t="s">
        <v>1315</v>
      </c>
      <c r="X156" s="152" t="s">
        <v>1005</v>
      </c>
      <c r="Y156" s="129" t="s">
        <v>1008</v>
      </c>
      <c r="Z156" s="129"/>
      <c r="AA156" s="71" t="s">
        <v>11</v>
      </c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5" t="str">
        <f>IF(BS_CONTROLE[[#This Row],[Local - Partida]]=0, "-", BS_CONTROLE[[#This Row],[Local - Partida]])</f>
        <v>TIP1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TIP</v>
      </c>
      <c r="AN156" s="175" t="str">
        <f>IF(BS_CONTROLE[[#This Row],[SB]]=0, "-", BS_CONTROLE[[#This Row],[SB]])</f>
        <v>TIP1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396.94</v>
      </c>
      <c r="AQ156" s="177" t="str">
        <f>IF(BS_CONTROLE[[#This Row],[KM - Fim]]=0, "-", BS_CONTROLE[[#This Row],[KM - Fim]])</f>
        <v>-</v>
      </c>
      <c r="AR156" s="32">
        <v>0.36736111111111114</v>
      </c>
      <c r="AS156" s="32">
        <v>0.38750000000000001</v>
      </c>
      <c r="AT156" s="32">
        <v>0.47083333333333333</v>
      </c>
      <c r="AU156" s="32"/>
      <c r="AV156" s="32"/>
      <c r="AW156" s="32"/>
      <c r="AX156" s="32"/>
      <c r="AY156" s="184">
        <f>IF(D156="","*",IFERROR(IF(ISODD(COUNT(AS154:AX155)),"ERRO",SUM((AT156-AS156),(AV156-AU156),(AX156-AW156))),"ERRO"))</f>
        <v>8.3333333333333315E-2</v>
      </c>
      <c r="AZ156" s="11"/>
      <c r="BA156" s="60">
        <v>2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BASE_MAPA!$B$2:$B$420, BASE_MAPA!$G$2:$G$420), "ERRO")</f>
        <v>MARCO INICIAL - ALTO ARAGUAIA</v>
      </c>
      <c r="BF156" s="178" t="str">
        <f>IF(BS_CONTROLE[[#This Row],[Responsavel pelo boletim]]=0, "-", BS_CONTROLE[[#This Row],[Responsavel pelo boletim]])</f>
        <v>Elson</v>
      </c>
      <c r="BG156" s="13"/>
      <c r="BH156" s="14">
        <v>2</v>
      </c>
      <c r="BI156" s="14"/>
      <c r="BJ156" s="14" t="s">
        <v>1565</v>
      </c>
      <c r="BK156" s="14" t="s">
        <v>1565</v>
      </c>
      <c r="BL156" s="13"/>
      <c r="BM156" s="12" t="s">
        <v>1029</v>
      </c>
      <c r="BN156" s="12" t="s">
        <v>1029</v>
      </c>
      <c r="BO156" s="130" t="s">
        <v>1029</v>
      </c>
      <c r="BP156" s="14"/>
      <c r="BQ156" s="10" t="str">
        <f>IF(AND(BR156&lt;1,BS156&lt;1),"Produção e Intervalo",IF(BR156&lt;1,"Intervalo",IF(BS156&lt;1,"Produção","Aderente")))</f>
        <v>Aderente</v>
      </c>
      <c r="BR156" s="15">
        <f>IF(OR(B156="",F156=""),"*",AY156/P156)</f>
        <v>1.333333333333333</v>
      </c>
      <c r="BS156" s="15">
        <f>IF(OR(B156="",F156=""),"*",BA156/Q156)</f>
        <v>2</v>
      </c>
      <c r="BT156" s="157" t="str">
        <f t="shared" si="16"/>
        <v>OKOK</v>
      </c>
    </row>
    <row r="157" spans="1:72" hidden="1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>
        <v>0.34375</v>
      </c>
      <c r="AS157" s="32">
        <v>0.47638888888888886</v>
      </c>
      <c r="AT157" s="32">
        <v>0.5625</v>
      </c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8.6111111111111138E-2</v>
      </c>
      <c r="AZ157" s="11"/>
      <c r="BA157" s="60">
        <v>2</v>
      </c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>
        <v>2</v>
      </c>
      <c r="BI157" s="14"/>
      <c r="BJ157" s="14" t="s">
        <v>1566</v>
      </c>
      <c r="BK157" s="14" t="s">
        <v>1566</v>
      </c>
      <c r="BL157" s="13"/>
      <c r="BM157" s="12" t="s">
        <v>1029</v>
      </c>
      <c r="BN157" s="12" t="s">
        <v>1029</v>
      </c>
      <c r="BO157" s="130" t="s">
        <v>1029</v>
      </c>
      <c r="BP157" s="14"/>
      <c r="BQ157" s="10" t="str">
        <f t="shared" si="13"/>
        <v>Aderente</v>
      </c>
      <c r="BR157" s="15">
        <f t="shared" si="14"/>
        <v>1.0333333333333337</v>
      </c>
      <c r="BS157" s="15">
        <f t="shared" si="15"/>
        <v>2</v>
      </c>
      <c r="BT157" s="157" t="str">
        <f t="shared" si="16"/>
        <v>OKOK</v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617</v>
      </c>
      <c r="I159" s="135" t="s">
        <v>605</v>
      </c>
      <c r="J159" s="151">
        <v>98</v>
      </c>
      <c r="K159" s="151">
        <v>659.976</v>
      </c>
      <c r="L159" s="71">
        <v>662.91099999999994</v>
      </c>
      <c r="M159" s="149" t="s">
        <v>643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TIQ</v>
      </c>
      <c r="AL159" s="175" t="str">
        <f>IF(BS_CONTROLE[[#This Row],[Local - Encerramento]]=0, "-", BS_CONTROLE[[#This Row],[Local - Encerramento]])</f>
        <v>TMJ1</v>
      </c>
      <c r="AM159" s="175" t="str">
        <f>IF(BS_CONTROLE[[#This Row],[Entre - Estações]]=0, "-", BS_CONTROLE[[#This Row],[Entre - Estações]])</f>
        <v>TAL-TSF</v>
      </c>
      <c r="AN159" s="175" t="str">
        <f>IF(BS_CONTROLE[[#This Row],[SB]]=0, "-", BS_CONTROLE[[#This Row],[SB]])</f>
        <v>TBS1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659.976</v>
      </c>
      <c r="AQ159" s="177">
        <f>IF(BS_CONTROLE[[#This Row],[KM - Fim]]=0, "-", BS_CONTROLE[[#This Row],[KM - Fim]])</f>
        <v>662.91099999999994</v>
      </c>
      <c r="AR159" s="32">
        <v>0.51666666666666672</v>
      </c>
      <c r="AS159" s="32">
        <v>0</v>
      </c>
      <c r="AT159" s="32">
        <v>0</v>
      </c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>
        <v>0</v>
      </c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>
        <v>0</v>
      </c>
      <c r="BI159" s="14"/>
      <c r="BJ159" s="14" t="s">
        <v>1567</v>
      </c>
      <c r="BK159" s="14" t="s">
        <v>1568</v>
      </c>
      <c r="BL159" s="13"/>
      <c r="BM159" s="12" t="s">
        <v>1024</v>
      </c>
      <c r="BN159" s="12" t="s">
        <v>1054</v>
      </c>
      <c r="BO159" s="130" t="s">
        <v>1116</v>
      </c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>CCOCirculaçãoIntervaloOportunidade</v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>BRUNO (TF-525)46069</v>
      </c>
      <c r="B161" s="133">
        <v>46069</v>
      </c>
      <c r="C161" s="7">
        <f>IF(BS_CONTROLE[[#This Row],[DATA]]="","",WEEKNUM(BS_CONTROLE[[#This Row],[DATA]]))</f>
        <v>8</v>
      </c>
      <c r="D161" s="45" t="s">
        <v>278</v>
      </c>
      <c r="E161" s="185">
        <v>173</v>
      </c>
      <c r="F161" s="134" t="s">
        <v>193</v>
      </c>
      <c r="G161" s="8" t="str">
        <f>IF(D161="","*",VLOOKUP(F161,BS_ATIVIDADE[#All],3,FALSE))</f>
        <v>SOLDA</v>
      </c>
      <c r="H161" s="135" t="s">
        <v>638</v>
      </c>
      <c r="I161" s="135" t="s">
        <v>11</v>
      </c>
      <c r="J161" s="151">
        <v>98</v>
      </c>
      <c r="K161" s="151">
        <v>662.4</v>
      </c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61" s="135">
        <v>0.375</v>
      </c>
      <c r="P161" s="135">
        <v>6.25E-2</v>
      </c>
      <c r="Q161" s="71">
        <v>2</v>
      </c>
      <c r="R161" s="9" t="str">
        <f>IFERROR(_xlfn.XLOOKUP(F161, BS_ATIVIDADE[ATIVIDADE],BS_ATIVIDADE[UNIDADE] ), "*")</f>
        <v>Nº DE SOLDA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1" s="199" t="str">
        <f>IFERROR(_xlfn.XLOOKUP(J161, BASE_MAPA!$B$2:$B$420, BASE_MAPA!$G$2:$G$420), "ERRO")</f>
        <v>ALTO ARAGUAIA - RONDONOPOLIS</v>
      </c>
      <c r="V161" s="143" t="s">
        <v>1263</v>
      </c>
      <c r="W161" s="135" t="s">
        <v>1315</v>
      </c>
      <c r="X161" s="152" t="s">
        <v>1005</v>
      </c>
      <c r="Y161" s="129" t="s">
        <v>1008</v>
      </c>
      <c r="Z161" s="129"/>
      <c r="AA161" s="71" t="s">
        <v>11</v>
      </c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PDM - SOLDA</v>
      </c>
      <c r="AJ161" s="8" t="str">
        <f>IF(D161="","*",VLOOKUP(AI161,BS_ATIVIDADE[#Data],3,FALSE))</f>
        <v>SOLDA</v>
      </c>
      <c r="AK161" s="175" t="str">
        <f>IF(BS_CONTROLE[[#This Row],[Local - Partida]]=0, "-", BS_CONTROLE[[#This Row],[Local - Partida]])</f>
        <v>TBS671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TBS-TAL</v>
      </c>
      <c r="AN161" s="175" t="str">
        <f>IF(BS_CONTROLE[[#This Row],[SB]]=0, "-", BS_CONTROLE[[#This Row],[SB]])</f>
        <v>TBS671</v>
      </c>
      <c r="AO161" s="176">
        <f>IF(BS_CONTROLE[[#This Row],[SUB]]=0, "-", BS_CONTROLE[[#This Row],[SUB]])</f>
        <v>98</v>
      </c>
      <c r="AP161" s="177">
        <f>IF(BS_CONTROLE[[#This Row],[KM - Inicio]]=0, "-", BS_CONTROLE[[#This Row],[KM - Inicio]])</f>
        <v>662.4</v>
      </c>
      <c r="AQ161" s="177" t="str">
        <f>IF(BS_CONTROLE[[#This Row],[KM - Fim]]=0, "-", BS_CONTROLE[[#This Row],[KM - Fim]])</f>
        <v>-</v>
      </c>
      <c r="AR161" s="32">
        <v>0.3215277777777778</v>
      </c>
      <c r="AS161" s="32"/>
      <c r="AT161" s="32"/>
      <c r="AU161" s="32"/>
      <c r="AV161" s="32"/>
      <c r="AW161" s="32"/>
      <c r="AX161" s="32"/>
      <c r="AY161" s="184">
        <f>IF(D161="","*",IFERROR(IF(ISODD(COUNT(AS161:AX163)),"ERRO",SUM((AT161-AS161),(AV161-AU161),(AX161-AW161))),"ERRO"))</f>
        <v>0</v>
      </c>
      <c r="AZ161" s="11"/>
      <c r="BA161" s="60"/>
      <c r="BB161" s="9" t="str">
        <f>IFERROR(_xlfn.XLOOKUP(AI161, BS_ATIVIDADE[ATIVIDADE],BS_ATIVIDADE[UNIDADE] ), "*")</f>
        <v>Nº DE SOLDA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1" s="200" t="str">
        <f>IFERROR(_xlfn.XLOOKUP(AO161, BASE_MAPA!$B$2:$B$420, BASE_MAPA!$G$2:$G$420), "ERRO")</f>
        <v>ALTO ARAGUAIA - RONDONOPOLIS</v>
      </c>
      <c r="BF161" s="178" t="str">
        <f>IF(BS_CONTROLE[[#This Row],[Responsavel pelo boletim]]=0, "-", BS_CONTROLE[[#This Row],[Responsavel pelo boletim]])</f>
        <v>Camila</v>
      </c>
      <c r="BG161" s="13"/>
      <c r="BH161" s="14"/>
      <c r="BI161" s="14"/>
      <c r="BJ161" s="14" t="s">
        <v>1569</v>
      </c>
      <c r="BK161" s="14"/>
      <c r="BL161" s="13"/>
      <c r="BM161" s="12"/>
      <c r="BN161" s="12"/>
      <c r="BO161" s="130"/>
      <c r="BP161" s="14"/>
      <c r="BQ161" s="10" t="str">
        <f t="shared" si="13"/>
        <v>Produção e Intervalo</v>
      </c>
      <c r="BR161" s="15">
        <f t="shared" si="14"/>
        <v>0</v>
      </c>
      <c r="BS161" s="15">
        <f t="shared" si="15"/>
        <v>0</v>
      </c>
      <c r="BT161" s="157" t="str">
        <f t="shared" si="16"/>
        <v/>
      </c>
    </row>
    <row r="162" spans="1:72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 t="s">
        <v>617</v>
      </c>
      <c r="I162" s="135" t="s">
        <v>1570</v>
      </c>
      <c r="J162" s="151">
        <v>98</v>
      </c>
      <c r="K162" s="151">
        <v>659.976</v>
      </c>
      <c r="L162" s="71">
        <v>662.91099999999994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62" s="135">
        <v>0.4375</v>
      </c>
      <c r="P162" s="135">
        <v>0.125</v>
      </c>
      <c r="Q162" s="71">
        <v>1680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199" t="str">
        <f>IFERROR(_xlfn.XLOOKUP(J162, BASE_MAPA!$B$2:$B$420, BASE_MAPA!$G$2:$G$420), "ERRO")</f>
        <v>ALTO ARAGUAIA - RONDONOPOLIS</v>
      </c>
      <c r="V162" s="143" t="s">
        <v>1272</v>
      </c>
      <c r="W162" s="135" t="s">
        <v>1273</v>
      </c>
      <c r="X162" s="152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TIQ</v>
      </c>
      <c r="AL162" s="175" t="str">
        <f>IF(BS_CONTROLE[[#This Row],[Local - Encerramento]]=0, "-", BS_CONTROLE[[#This Row],[Local - Encerramento]])</f>
        <v xml:space="preserve">TIQ </v>
      </c>
      <c r="AM162" s="175" t="str">
        <f>IF(BS_CONTROLE[[#This Row],[Entre - Estações]]=0, "-", BS_CONTROLE[[#This Row],[Entre - Estações]])</f>
        <v>TBS</v>
      </c>
      <c r="AN162" s="175" t="str">
        <f>IF(BS_CONTROLE[[#This Row],[SB]]=0, "-", BS_CONTROLE[[#This Row],[SB]])</f>
        <v>TBS1</v>
      </c>
      <c r="AO162" s="176">
        <f>IF(BS_CONTROLE[[#This Row],[SUB]]=0, "-", BS_CONTROLE[[#This Row],[SUB]])</f>
        <v>98</v>
      </c>
      <c r="AP162" s="177">
        <f>IF(BS_CONTROLE[[#This Row],[KM - Inicio]]=0, "-", BS_CONTROLE[[#This Row],[KM - Inicio]])</f>
        <v>659.976</v>
      </c>
      <c r="AQ162" s="177">
        <f>IF(BS_CONTROLE[[#This Row],[KM - Fim]]=0, "-", BS_CONTROLE[[#This Row],[KM - Fim]])</f>
        <v>662.91099999999994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Antonioni</v>
      </c>
      <c r="BG162" s="13"/>
      <c r="BH162" s="14"/>
      <c r="BI162" s="14"/>
      <c r="BJ162" s="14" t="s">
        <v>1524</v>
      </c>
      <c r="BK162" s="14"/>
      <c r="BL162" s="13"/>
      <c r="BM162" s="12"/>
      <c r="BN162" s="12"/>
      <c r="BO162" s="130"/>
      <c r="BP162" s="14"/>
      <c r="BQ162" s="10" t="str">
        <f t="shared" si="13"/>
        <v>Produção e Intervalo</v>
      </c>
      <c r="BR162" s="15">
        <f t="shared" si="14"/>
        <v>0</v>
      </c>
      <c r="BS162" s="15">
        <f t="shared" si="15"/>
        <v>0</v>
      </c>
      <c r="BT162" s="157" t="str">
        <f t="shared" si="16"/>
        <v/>
      </c>
    </row>
    <row r="163" spans="1:72" hidden="1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1562</v>
      </c>
      <c r="W164" s="135" t="s">
        <v>1571</v>
      </c>
      <c r="X164" s="152" t="s">
        <v>1005</v>
      </c>
      <c r="Y164" s="129" t="s">
        <v>1008</v>
      </c>
      <c r="Z164" s="129"/>
      <c r="AA164" s="71" t="s">
        <v>1265</v>
      </c>
      <c r="AB164" s="59" t="s">
        <v>997</v>
      </c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 t="s">
        <v>1572</v>
      </c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 t="s">
        <v>1008</v>
      </c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>
        <v>0.36944444444444446</v>
      </c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 t="s">
        <v>1573</v>
      </c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1574</v>
      </c>
      <c r="N168" s="149" t="s">
        <v>1575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 t="s">
        <v>1008</v>
      </c>
      <c r="Z168" s="129"/>
      <c r="AA168" s="71">
        <v>1</v>
      </c>
      <c r="AB168" s="59" t="s">
        <v>997</v>
      </c>
      <c r="AC168" s="59"/>
      <c r="AD168" s="135">
        <v>0.29166666666666669</v>
      </c>
      <c r="AE168" s="71">
        <v>5487</v>
      </c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 t="s">
        <v>1576</v>
      </c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1577</v>
      </c>
      <c r="W170" s="135" t="s">
        <v>1328</v>
      </c>
      <c r="X170" s="152" t="s">
        <v>1005</v>
      </c>
      <c r="Y170" s="129" t="s">
        <v>1008</v>
      </c>
      <c r="Z170" s="129"/>
      <c r="AA170" s="71" t="s">
        <v>1578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 t="s">
        <v>1437</v>
      </c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 hidden="1">
      <c r="A171" s="44" t="str">
        <f t="shared" si="12"/>
        <v>V48</v>
      </c>
      <c r="B171" s="133"/>
      <c r="C171" s="7" t="str">
        <f>IF(BS_CONTROLE[[#This Row],[DATA]]="","",WEEKNUM(BS_CONTROLE[[#This Row],[DATA]]))</f>
        <v/>
      </c>
      <c r="D171" s="236" t="s">
        <v>183</v>
      </c>
      <c r="E171" s="185">
        <v>183</v>
      </c>
      <c r="F171" s="134" t="s">
        <v>25</v>
      </c>
      <c r="G171" s="8" t="str">
        <f>IF(D171="","*",VLOOKUP(F171,BS_ATIVIDADE[#All],3,FALSE))</f>
        <v>OUTROS</v>
      </c>
      <c r="H171" s="135" t="s">
        <v>1579</v>
      </c>
      <c r="I171" s="135" t="s">
        <v>458</v>
      </c>
      <c r="J171" s="151">
        <v>74</v>
      </c>
      <c r="K171" s="151">
        <v>421</v>
      </c>
      <c r="L171" s="71">
        <v>226</v>
      </c>
      <c r="M171" s="149" t="s">
        <v>1580</v>
      </c>
      <c r="N171" s="149" t="s">
        <v>1581</v>
      </c>
      <c r="O171" s="135">
        <v>0.375</v>
      </c>
      <c r="P171" s="135">
        <v>4.1666666666666664E-2</v>
      </c>
      <c r="Q171" s="71">
        <v>1</v>
      </c>
      <c r="R171" s="9" t="str">
        <f>IFERROR(_xlfn.XLOOKUP(F171, BS_ATIVIDADE[ATIVIDADE],BS_ATIVIDADE[UNIDADE] ), "*")</f>
        <v>BINÁRIO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BASE_MAPA!$B$2:$B$420, BASE_MAPA!$G$2:$G$420), "ERRO")</f>
        <v>MARCO INICIAL - ALTO ARAGUAIA</v>
      </c>
      <c r="V171" s="143" t="s">
        <v>1582</v>
      </c>
      <c r="W171" s="135" t="s">
        <v>1583</v>
      </c>
      <c r="X171" s="152" t="s">
        <v>1005</v>
      </c>
      <c r="Y171" s="129"/>
      <c r="Z171" s="129"/>
      <c r="AA171" s="71">
        <v>1</v>
      </c>
      <c r="AB171" s="59" t="s">
        <v>997</v>
      </c>
      <c r="AC171" s="59"/>
      <c r="AD171" s="135">
        <v>0.29166666666666669</v>
      </c>
      <c r="AE171" s="71">
        <v>6248</v>
      </c>
      <c r="AF171" s="71"/>
      <c r="AG171" s="71"/>
      <c r="AH171" s="42"/>
      <c r="AI171" s="119" t="str">
        <f>IF(BS_CONTROLE[[#This Row],[Atividade]]=0, "-", BS_CONTROLE[[#This Row],[Atividade]])</f>
        <v>DESLOCAMENTO</v>
      </c>
      <c r="AJ171" s="8" t="str">
        <f>IF(D171="","*",VLOOKUP(AI171,BS_ATIVIDADE[#Data],3,FALSE))</f>
        <v>OUTROS</v>
      </c>
      <c r="AK171" s="175" t="str">
        <f>IF(BS_CONTROLE[[#This Row],[Local - Partida]]=0, "-", BS_CONTROLE[[#This Row],[Local - Partida]])</f>
        <v>ZSF</v>
      </c>
      <c r="AL171" s="175" t="str">
        <f>IF(BS_CONTROLE[[#This Row],[Local - Encerramento]]=0, "-", BS_CONTROLE[[#This Row],[Local - Encerramento]])</f>
        <v>TVI1</v>
      </c>
      <c r="AM171" s="175" t="str">
        <f>IF(BS_CONTROLE[[#This Row],[Entre - Estações]]=0, "-", BS_CONTROLE[[#This Row],[Entre - Estações]])</f>
        <v>ZSF-TVI</v>
      </c>
      <c r="AN171" s="175" t="str">
        <f>IF(BS_CONTROLE[[#This Row],[SB]]=0, "-", BS_CONTROLE[[#This Row],[SB]])</f>
        <v>ZSFTVI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421</v>
      </c>
      <c r="AQ171" s="177">
        <f>IF(BS_CONTROLE[[#This Row],[KM - Fim]]=0, "-", BS_CONTROLE[[#This Row],[KM - Fim]])</f>
        <v>226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IF(D171="","*",IFERROR(IF(ISODD(COUNT(AS171:AX173)),"ERRO",SUM((AT171-AS171),(AV171-AU171),(AX171-AW171))),"ERRO"))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BINÁRIO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BASE_MAPA!$B$2:$B$420, BASE_MAPA!$G$2:$G$420), "ERRO")</f>
        <v>MARCO INICIAL - ALTO ARAGUAIA</v>
      </c>
      <c r="BF171" s="178" t="str">
        <f>IF(BS_CONTROLE[[#This Row],[Responsavel pelo boletim]]=0, "-", BS_CONTROLE[[#This Row],[Responsavel pelo boletim]])</f>
        <v>Ezequiel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 t="s">
        <v>434</v>
      </c>
      <c r="I172" s="135" t="s">
        <v>11</v>
      </c>
      <c r="J172" s="151">
        <v>74</v>
      </c>
      <c r="K172" s="151">
        <v>143.35</v>
      </c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72" s="135">
        <v>0.375</v>
      </c>
      <c r="P172" s="135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BASE_MAPA!$B$2:$B$420, BASE_MAPA!$G$2:$G$420), "ERRO")</f>
        <v>MARCO INICIAL - ALTO ARAGUAIA</v>
      </c>
      <c r="V172" s="143" t="s">
        <v>1325</v>
      </c>
      <c r="W172" s="135" t="s">
        <v>1315</v>
      </c>
      <c r="X172" s="152" t="s">
        <v>1005</v>
      </c>
      <c r="Y172" s="129" t="s">
        <v>1008</v>
      </c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TMO1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TMO</v>
      </c>
      <c r="AN172" s="175" t="str">
        <f>IF(BS_CONTROLE[[#This Row],[SB]]=0, "-", BS_CONTROLE[[#This Row],[SB]])</f>
        <v>TMO1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143.35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BASE_MAPA!$B$2:$B$420, BASE_MAPA!$G$2:$G$420), "ERRO")</f>
        <v>MARCO INICIAL - ALTO ARAGUAIA</v>
      </c>
      <c r="BF172" s="178" t="str">
        <f>IF(BS_CONTROLE[[#This Row],[Responsavel pelo boletim]]=0, "-", BS_CONTROLE[[#This Row],[Responsavel pelo boletim]])</f>
        <v>Marcos Euzebio</v>
      </c>
      <c r="BG172" s="13"/>
      <c r="BH172" s="14"/>
      <c r="BI172" s="14"/>
      <c r="BJ172" s="14" t="s">
        <v>1573</v>
      </c>
      <c r="BK172" s="14"/>
      <c r="BL172" s="13"/>
      <c r="BM172" s="12"/>
      <c r="BN172" s="12"/>
      <c r="BO172" s="130"/>
      <c r="BP172" s="14"/>
      <c r="BQ172" s="10" t="str">
        <f t="shared" si="13"/>
        <v>Produção e Intervalo</v>
      </c>
      <c r="BR172" s="15">
        <f t="shared" si="14"/>
        <v>0</v>
      </c>
      <c r="BS172" s="15">
        <f t="shared" si="15"/>
        <v>0</v>
      </c>
      <c r="BT172" s="157" t="str">
        <f t="shared" si="16"/>
        <v/>
      </c>
    </row>
    <row r="173" spans="1:72">
      <c r="A173" s="44" t="str">
        <f t="shared" si="12"/>
        <v>W4846069</v>
      </c>
      <c r="B173" s="133">
        <v>46069</v>
      </c>
      <c r="C173" s="7">
        <f>IF(BS_CONTROLE[[#This Row],[DATA]]="","",WEEKNUM(BS_CONTROLE[[#This Row],[DATA]]))</f>
        <v>8</v>
      </c>
      <c r="D173" s="45" t="s">
        <v>239</v>
      </c>
      <c r="E173" s="185">
        <v>185</v>
      </c>
      <c r="F173" s="134" t="s">
        <v>25</v>
      </c>
      <c r="G173" s="8" t="str">
        <f>IF(D173="","*",VLOOKUP(F173,BS_ATIVIDADE[#All],3,FALSE))</f>
        <v>OUTROS</v>
      </c>
      <c r="H173" s="135" t="s">
        <v>385</v>
      </c>
      <c r="I173" s="135" t="s">
        <v>418</v>
      </c>
      <c r="J173" s="151">
        <v>74</v>
      </c>
      <c r="K173" s="151">
        <v>24.84</v>
      </c>
      <c r="L173" s="71">
        <v>109</v>
      </c>
      <c r="M173" s="149" t="s">
        <v>1584</v>
      </c>
      <c r="N173" s="149" t="s">
        <v>1585</v>
      </c>
      <c r="O173" s="135">
        <v>0.375</v>
      </c>
      <c r="P173" s="135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BASE_MAPA!$B$2:$B$420, BASE_MAPA!$G$2:$G$420), "ERRO")</f>
        <v>MARCO INICIAL - ALTO ARAGUAIA</v>
      </c>
      <c r="V173" s="143" t="s">
        <v>1586</v>
      </c>
      <c r="W173" s="135" t="s">
        <v>1587</v>
      </c>
      <c r="X173" s="152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5">
        <v>0.29166666666666669</v>
      </c>
      <c r="AE173" s="71">
        <v>6202</v>
      </c>
      <c r="AF173" s="71">
        <v>6201</v>
      </c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75" t="str">
        <f>IF(BS_CONTROLE[[#This Row],[Local - Partida]]=0, "-", BS_CONTROLE[[#This Row],[Local - Partida]])</f>
        <v>TAP</v>
      </c>
      <c r="AL173" s="175" t="str">
        <f>IF(BS_CONTROLE[[#This Row],[Local - Encerramento]]=0, "-", BS_CONTROLE[[#This Row],[Local - Encerramento]])</f>
        <v>TIN1</v>
      </c>
      <c r="AM173" s="175" t="str">
        <f>IF(BS_CONTROLE[[#This Row],[Entre - Estações]]=0, "-", BS_CONTROLE[[#This Row],[Entre - Estações]])</f>
        <v>TAP-TIN</v>
      </c>
      <c r="AN173" s="175" t="str">
        <f>IF(BS_CONTROLE[[#This Row],[SB]]=0, "-", BS_CONTROLE[[#This Row],[SB]])</f>
        <v>TAPTIN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24.84</v>
      </c>
      <c r="AQ173" s="177">
        <f>IF(BS_CONTROLE[[#This Row],[KM - Fim]]=0, "-", BS_CONTROLE[[#This Row],[KM - Fim]])</f>
        <v>109</v>
      </c>
      <c r="AR173" s="32"/>
      <c r="AS173" s="32"/>
      <c r="AT173" s="32"/>
      <c r="AU173" s="32"/>
      <c r="AV173" s="32"/>
      <c r="AW173" s="32"/>
      <c r="AX173" s="32"/>
      <c r="AY173" s="184">
        <f>IF(D173="","*",IFERROR(IF(ISODD(COUNT(AS173:AX175)),"ERRO",SUM((AT173-AS173),(AV173-AU173),(AX173-AW173))),"ERRO"))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BASE_MAPA!$B$2:$B$420, BASE_MAPA!$G$2:$G$420), "ERRO")</f>
        <v>MARCO INICIAL - ALTO ARAGUAIA</v>
      </c>
      <c r="BF173" s="178" t="str">
        <f>IF(BS_CONTROLE[[#This Row],[Responsavel pelo boletim]]=0, "-", BS_CONTROLE[[#This Row],[Responsavel pelo boletim]])</f>
        <v>Douglas</v>
      </c>
      <c r="BG173" s="13"/>
      <c r="BH173" s="14"/>
      <c r="BI173" s="14"/>
      <c r="BJ173" s="14" t="s">
        <v>1588</v>
      </c>
      <c r="BK173" s="14"/>
      <c r="BL173" s="13"/>
      <c r="BM173" s="12"/>
      <c r="BN173" s="12"/>
      <c r="BO173" s="130"/>
      <c r="BP173" s="14"/>
      <c r="BQ173" s="10" t="str">
        <f t="shared" si="13"/>
        <v>Produção e Intervalo</v>
      </c>
      <c r="BR173" s="15">
        <f t="shared" si="14"/>
        <v>0</v>
      </c>
      <c r="BS173" s="15">
        <f t="shared" si="15"/>
        <v>0</v>
      </c>
      <c r="BT173" s="157" t="str">
        <f t="shared" si="16"/>
        <v/>
      </c>
    </row>
    <row r="174" spans="1:72">
      <c r="A174" s="44" t="str">
        <f t="shared" si="12"/>
        <v>V9746069</v>
      </c>
      <c r="B174" s="133">
        <v>46069</v>
      </c>
      <c r="C174" s="7">
        <f>IF(BS_CONTROLE[[#This Row],[DATA]]="","",WEEKNUM(BS_CONTROLE[[#This Row],[DATA]]))</f>
        <v>8</v>
      </c>
      <c r="D174" s="45" t="s">
        <v>236</v>
      </c>
      <c r="E174" s="185">
        <v>186</v>
      </c>
      <c r="F174" s="134" t="s">
        <v>25</v>
      </c>
      <c r="G174" s="8" t="str">
        <f>IF(D174="","*",VLOOKUP(F174,BS_ATIVIDADE[#All],3,FALSE))</f>
        <v>OUTROS</v>
      </c>
      <c r="H174" s="135" t="s">
        <v>1589</v>
      </c>
      <c r="I174" s="135" t="s">
        <v>716</v>
      </c>
      <c r="J174" s="151">
        <v>78</v>
      </c>
      <c r="K174" s="151">
        <v>180</v>
      </c>
      <c r="L174" s="71">
        <v>189.45500000000001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4" s="135">
        <v>0.375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199" t="str">
        <f>IFERROR(_xlfn.XLOOKUP(J174, BASE_MAPA!$B$2:$B$420, BASE_MAPA!$G$2:$G$420), "ERRO")</f>
        <v>ITIRAPINA - BAURU</v>
      </c>
      <c r="V174" s="143" t="s">
        <v>1590</v>
      </c>
      <c r="W174" s="135" t="s">
        <v>1591</v>
      </c>
      <c r="X174" s="152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ZIQ</v>
      </c>
      <c r="AL174" s="175" t="str">
        <f>IF(BS_CONTROLE[[#This Row],[Local - Encerramento]]=0, "-", BS_CONTROLE[[#This Row],[Local - Encerramento]])</f>
        <v>ZFH</v>
      </c>
      <c r="AM174" s="175" t="str">
        <f>IF(BS_CONTROLE[[#This Row],[Entre - Estações]]=0, "-", BS_CONTROLE[[#This Row],[Entre - Estações]])</f>
        <v>ZIQ-ZQY</v>
      </c>
      <c r="AN174" s="175" t="str">
        <f>IF(BS_CONTROLE[[#This Row],[SB]]=0, "-", BS_CONTROLE[[#This Row],[SB]])</f>
        <v>ZIQZQY</v>
      </c>
      <c r="AO174" s="176">
        <f>IF(BS_CONTROLE[[#This Row],[SUB]]=0, "-", BS_CONTROLE[[#This Row],[SUB]])</f>
        <v>78</v>
      </c>
      <c r="AP174" s="177">
        <f>IF(BS_CONTROLE[[#This Row],[KM - Inicio]]=0, "-", BS_CONTROLE[[#This Row],[KM - Inicio]])</f>
        <v>180</v>
      </c>
      <c r="AQ174" s="177">
        <f>IF(BS_CONTROLE[[#This Row],[KM - Fim]]=0, "-", BS_CONTROLE[[#This Row],[KM - Fim]])</f>
        <v>189.45500000000001</v>
      </c>
      <c r="AR174" s="32"/>
      <c r="AS174" s="32"/>
      <c r="AT174" s="32"/>
      <c r="AU174" s="32"/>
      <c r="AV174" s="32"/>
      <c r="AW174" s="32"/>
      <c r="AX174" s="32"/>
      <c r="AY174" s="184">
        <f>IF(D174="","*",IFERROR(IF(ISODD(COUNT(AS174:AX176)),"ERRO",SUM((AT174-AS174),(AV174-AU174),(AX174-AW174))),"ERRO"))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200" t="str">
        <f>IFERROR(_xlfn.XLOOKUP(AO174, BASE_MAPA!$B$2:$B$420, BASE_MAPA!$G$2:$G$420), "ERRO")</f>
        <v>ITIRAPINA - BAURU</v>
      </c>
      <c r="BF174" s="178" t="str">
        <f>IF(BS_CONTROLE[[#This Row],[Responsavel pelo boletim]]=0, "-", BS_CONTROLE[[#This Row],[Responsavel pelo boletim]])</f>
        <v>Vieira</v>
      </c>
      <c r="BG174" s="13"/>
      <c r="BH174" s="14"/>
      <c r="BI174" s="14"/>
      <c r="BJ174" s="14" t="s">
        <v>1592</v>
      </c>
      <c r="BK174" s="14"/>
      <c r="BL174" s="13"/>
      <c r="BM174" s="12"/>
      <c r="BN174" s="12"/>
      <c r="BO174" s="130"/>
      <c r="BP174" s="14"/>
      <c r="BQ174" s="10" t="str">
        <f t="shared" si="13"/>
        <v>Produção e Intervalo</v>
      </c>
      <c r="BR174" s="15">
        <f t="shared" si="14"/>
        <v>0</v>
      </c>
      <c r="BS174" s="15">
        <f t="shared" si="15"/>
        <v>0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idden="1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idden="1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idden="1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idden="1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idden="1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idden="1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idden="1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idden="1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 hidden="1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 hidden="1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 hidden="1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9" operator="equal">
      <formula>"ERRO"</formula>
    </cfRule>
  </conditionalFormatting>
  <conditionalFormatting sqref="X4 Y1:Z5 Y8:Z783">
    <cfRule type="cellIs" dxfId="123" priority="18498" operator="equal">
      <formula>"OPORTUNIDADE"</formula>
    </cfRule>
  </conditionalFormatting>
  <conditionalFormatting sqref="AZ6:AZ783">
    <cfRule type="expression" dxfId="122" priority="18493">
      <formula>$BU6=1</formula>
    </cfRule>
  </conditionalFormatting>
  <conditionalFormatting sqref="BQ6:BQ783">
    <cfRule type="cellIs" dxfId="121" priority="18504" operator="equal">
      <formula>"Produção e Intervalo"</formula>
    </cfRule>
    <cfRule type="cellIs" dxfId="120" priority="18505" operator="equal">
      <formula>"Aderente"</formula>
    </cfRule>
    <cfRule type="cellIs" dxfId="119" priority="18506" operator="equal">
      <formula>"Intervalo"</formula>
    </cfRule>
    <cfRule type="cellIs" dxfId="118" priority="18507" operator="equal">
      <formula>"Produção"</formula>
    </cfRule>
    <cfRule type="cellIs" dxfId="117" priority="18508" operator="equal">
      <formula>"ERRO"</formula>
    </cfRule>
  </conditionalFormatting>
  <conditionalFormatting sqref="BR6:BS783">
    <cfRule type="cellIs" dxfId="116" priority="18486" operator="equal">
      <formula>"*"</formula>
    </cfRule>
    <cfRule type="cellIs" dxfId="115" priority="18487" operator="greaterThanOrEqual">
      <formula>1</formula>
    </cfRule>
    <cfRule type="cellIs" dxfId="114" priority="18488" operator="lessThan">
      <formula>1</formula>
    </cfRule>
  </conditionalFormatting>
  <conditionalFormatting sqref="Y8:Z783">
    <cfRule type="cellIs" dxfId="113" priority="18434" operator="equal">
      <formula>"NÃO"</formula>
    </cfRule>
    <cfRule type="cellIs" dxfId="112" priority="18435" operator="equal">
      <formula>"SIM"</formula>
    </cfRule>
  </conditionalFormatting>
  <conditionalFormatting sqref="Y1047846:Y1048576">
    <cfRule type="cellIs" dxfId="111" priority="18315" operator="equal">
      <formula>"OPORTUNIDADE"</formula>
    </cfRule>
  </conditionalFormatting>
  <conditionalFormatting sqref="Y1047846:Y1048576">
    <cfRule type="cellIs" dxfId="110" priority="18313" operator="equal">
      <formula>"NÃO"</formula>
    </cfRule>
    <cfRule type="cellIs" dxfId="109" priority="18314" operator="equal">
      <formula>"SIM"</formula>
    </cfRule>
  </conditionalFormatting>
  <conditionalFormatting sqref="Y6:Y7">
    <cfRule type="cellIs" dxfId="108" priority="35" operator="equal">
      <formula>"OPORTUNIDADE"</formula>
    </cfRule>
  </conditionalFormatting>
  <conditionalFormatting sqref="Y6:Y7">
    <cfRule type="cellIs" dxfId="107" priority="33" operator="equal">
      <formula>"NÃO"</formula>
    </cfRule>
    <cfRule type="cellIs" dxfId="106" priority="34" operator="equal">
      <formula>"SIM"</formula>
    </cfRule>
  </conditionalFormatting>
  <conditionalFormatting sqref="BK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K144 BK150 BK152:BK153 BK156:BK157 BJ127:BJ783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 BK151 BK154:BK155 BK158:BK783 BK147:BK149">
    <cfRule type="iconSet" priority="2274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9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1">
      <iconSet showValue="0">
        <cfvo type="percent" val="0"/>
        <cfvo type="num" val="1"/>
        <cfvo type="num" val="1" gte="0"/>
      </iconSet>
    </cfRule>
    <cfRule type="iconSet" priority="22832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5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O107 BN6:BN783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F6:F783 AI6:AI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1593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1594</v>
      </c>
      <c r="E3" s="186" t="s">
        <v>1595</v>
      </c>
      <c r="F3" s="186" t="s">
        <v>1596</v>
      </c>
      <c r="G3" s="186" t="s">
        <v>1597</v>
      </c>
      <c r="H3" s="186" t="s">
        <v>1598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1599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1600</v>
      </c>
      <c r="D12" s="187">
        <v>9049</v>
      </c>
      <c r="E12" s="188">
        <v>46044</v>
      </c>
      <c r="F12" s="190" t="s">
        <v>1601</v>
      </c>
      <c r="G12" s="187" t="s">
        <v>1602</v>
      </c>
      <c r="H12" s="187"/>
    </row>
    <row r="13" spans="3:8">
      <c r="C13" s="187" t="s">
        <v>1600</v>
      </c>
      <c r="D13" s="187">
        <v>9044</v>
      </c>
      <c r="E13" s="188">
        <v>46044</v>
      </c>
      <c r="F13" s="190" t="s">
        <v>1603</v>
      </c>
      <c r="G13" s="187" t="s">
        <v>1604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1605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1605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1606</v>
      </c>
      <c r="C2" s="83" t="s">
        <v>1196</v>
      </c>
      <c r="D2" s="83" t="s">
        <v>1198</v>
      </c>
      <c r="E2" s="83" t="s">
        <v>1607</v>
      </c>
      <c r="F2" s="83" t="s">
        <v>1608</v>
      </c>
      <c r="G2" s="83" t="s">
        <v>1609</v>
      </c>
      <c r="H2" s="83" t="s">
        <v>1610</v>
      </c>
      <c r="I2" s="83" t="s">
        <v>1611</v>
      </c>
      <c r="J2" s="83" t="s">
        <v>1612</v>
      </c>
      <c r="K2" s="109" t="s">
        <v>1613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 hidden="1">
      <c r="B141" s="100" t="str">
        <f>IF(FN_MC!Y146="","*",FN_MC!Y146)</f>
        <v>OPORTUNIDADE</v>
      </c>
      <c r="C141" s="101">
        <f>IF(FN_MC!B146="","*",FN_MC!B146)</f>
        <v>46066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*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OPORTUNIDADE</v>
      </c>
      <c r="C147" s="101">
        <f>IF(FN_MC!B152="","*",FN_MC!B152)</f>
        <v>46067</v>
      </c>
      <c r="D147" s="101" t="str">
        <f>IF(FN_MC!D152="","*",FN_MC!D152)</f>
        <v>BRUNO (TF-525)</v>
      </c>
      <c r="E147" s="101" t="str">
        <f>IF(FN_MC!H152="","*",FN_MC!H152)</f>
        <v>TBS671</v>
      </c>
      <c r="F147" s="114" t="str">
        <f>IF(FN_MC!M152="","*",FN_MC!M152)</f>
        <v>TBS-TAL</v>
      </c>
      <c r="G147" s="101" t="str">
        <f>IF(FN_MC!I152="","*",FN_MC!I152)</f>
        <v>-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-</v>
      </c>
      <c r="K147" s="112" t="str">
        <f>IF(FN_MC!AD152="","*",FN_MC!AD152)</f>
        <v>*</v>
      </c>
    </row>
    <row r="148" spans="2:11" hidden="1">
      <c r="B148" s="100" t="str">
        <f>IF(FN_MC!Y153="","*",FN_MC!Y153)</f>
        <v>OPORTUNIDADE</v>
      </c>
      <c r="C148" s="101">
        <f>IF(FN_MC!B153="","*",FN_MC!B153)</f>
        <v>46067</v>
      </c>
      <c r="D148" s="101" t="str">
        <f>IF(FN_MC!D153="","*",FN_MC!D153)</f>
        <v>W70</v>
      </c>
      <c r="E148" s="101" t="str">
        <f>IF(FN_MC!H153="","*",FN_MC!H153)</f>
        <v>TAG</v>
      </c>
      <c r="F148" s="114" t="str">
        <f>IF(FN_MC!M153="","*",FN_MC!M153)</f>
        <v>TGR-TBE</v>
      </c>
      <c r="G148" s="101" t="str">
        <f>IF(FN_MC!I153="","*",FN_MC!I153)</f>
        <v>TAG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IF(FN_MC!Y156="","*",FN_MC!Y156)</f>
        <v>OPORTUNIDADE</v>
      </c>
      <c r="C149" s="101">
        <f>IF(FN_MC!B156="","*",FN_MC!B156)</f>
        <v>46067</v>
      </c>
      <c r="D149" s="101" t="str">
        <f>IF(FN_MC!D156="","*",FN_MC!D156)</f>
        <v>ELSON (TF-526)</v>
      </c>
      <c r="E149" s="101" t="str">
        <f>IF(FN_MC!H156="","*",FN_MC!H156)</f>
        <v>TIP1</v>
      </c>
      <c r="F149" s="114" t="str">
        <f>IF(FN_MC!M156="","*",FN_MC!M156)</f>
        <v>TIP</v>
      </c>
      <c r="G149" s="101" t="str">
        <f>IF(FN_MC!I156="","*",FN_MC!I156)</f>
        <v>-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-</v>
      </c>
      <c r="K149" s="112" t="str">
        <f>IF(FN_MC!AD156="","*",FN_MC!AD156)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IF(FN_MC!Y157="","*",FN_MC!Y157)</f>
        <v>OPORTUNIDADE</v>
      </c>
      <c r="C152" s="101">
        <f>IF(FN_MC!B157="","*",FN_MC!B157)</f>
        <v>46067</v>
      </c>
      <c r="D152" s="101" t="str">
        <f>IF(FN_MC!D157="","*",FN_MC!D157)</f>
        <v>MARCOS (TF-520)</v>
      </c>
      <c r="E152" s="101" t="str">
        <f>IF(FN_MC!H157="","*",FN_MC!H157)</f>
        <v>TAPK35</v>
      </c>
      <c r="F152" s="114" t="str">
        <f>IF(FN_MC!M157="","*",FN_MC!M157)</f>
        <v>TAP-TLG</v>
      </c>
      <c r="G152" s="101" t="str">
        <f>IF(FN_MC!I157="","*",FN_MC!I157)</f>
        <v>-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-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OPORTUNIDADE</v>
      </c>
      <c r="C154" s="101">
        <f>IF(FN_MC!B159="","*",FN_MC!B159)</f>
        <v>46068</v>
      </c>
      <c r="D154" s="101" t="str">
        <f>IF(FN_MC!D159="","*",FN_MC!D159)</f>
        <v>V86</v>
      </c>
      <c r="E154" s="101" t="str">
        <f>IF(FN_MC!H159="","*",FN_MC!H159)</f>
        <v>TIQ</v>
      </c>
      <c r="F154" s="114" t="str">
        <f>IF(FN_MC!M159="","*",FN_MC!M159)</f>
        <v>TAL-TSF</v>
      </c>
      <c r="G154" s="101" t="str">
        <f>IF(FN_MC!I159="","*",FN_MC!I159)</f>
        <v>TMJ1</v>
      </c>
      <c r="H154" s="101" t="str">
        <f>IF(FN_MC!AB159="","*",FN_MC!AB159)</f>
        <v>FIXO</v>
      </c>
      <c r="I154" s="101" t="str">
        <f>IF(FN_MC!AC159="","*",FN_MC!AC159)</f>
        <v>*</v>
      </c>
      <c r="J154" s="102">
        <f>IF(FN_MC!AA159="","*",FN_MC!AA159)</f>
        <v>1</v>
      </c>
      <c r="K154" s="112">
        <f>IF(FN_MC!AD159="","*",FN_MC!AD159)</f>
        <v>0.29166666666666669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OPORTUNIDADE</v>
      </c>
      <c r="C156" s="101">
        <f>IF(FN_MC!B161="","*",FN_MC!B161)</f>
        <v>46069</v>
      </c>
      <c r="D156" s="101" t="str">
        <f>IF(FN_MC!D161="","*",FN_MC!D161)</f>
        <v>BRUNO (TF-525)</v>
      </c>
      <c r="E156" s="101" t="str">
        <f>IF(FN_MC!H161="","*",FN_MC!H161)</f>
        <v>TBS671</v>
      </c>
      <c r="F156" s="114" t="str">
        <f>IF(FN_MC!M161="","*",FN_MC!M161)</f>
        <v>TBS-TAL</v>
      </c>
      <c r="G156" s="101" t="str">
        <f>IF(FN_MC!I161="","*",FN_MC!I161)</f>
        <v>-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-</v>
      </c>
      <c r="K156" s="112" t="str">
        <f>IF(FN_MC!AD161="","*",FN_MC!AD161)</f>
        <v>*</v>
      </c>
    </row>
    <row r="157" spans="2:11" hidden="1">
      <c r="B157" s="100" t="str">
        <f>IF(FN_MC!Y162="","*",FN_MC!Y162)</f>
        <v>OPORTUNIDADE</v>
      </c>
      <c r="C157" s="101">
        <f>IF(FN_MC!B162="","*",FN_MC!B162)</f>
        <v>46069</v>
      </c>
      <c r="D157" s="101" t="str">
        <f>IF(FN_MC!D162="","*",FN_MC!D162)</f>
        <v>V86</v>
      </c>
      <c r="E157" s="101" t="str">
        <f>IF(FN_MC!H162="","*",FN_MC!H162)</f>
        <v>TIQ</v>
      </c>
      <c r="F157" s="114" t="str">
        <f>IF(FN_MC!M162="","*",FN_MC!M162)</f>
        <v>TBS</v>
      </c>
      <c r="G157" s="101" t="str">
        <f>IF(FN_MC!I162="","*",FN_MC!I162)</f>
        <v xml:space="preserve">TIQ </v>
      </c>
      <c r="H157" s="101" t="str">
        <f>IF(FN_MC!AB162="","*",FN_MC!AB162)</f>
        <v>FIXO</v>
      </c>
      <c r="I157" s="101" t="str">
        <f>IF(FN_MC!AC162="","*",FN_MC!AC162)</f>
        <v>*</v>
      </c>
      <c r="J157" s="102">
        <f>IF(FN_MC!AA162="","*",FN_MC!AA162)</f>
        <v>1</v>
      </c>
      <c r="K157" s="112">
        <f>IF(FN_MC!AD162="","*",FN_MC!AD162)</f>
        <v>0.29166666666666669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OPORTUNIDADE</v>
      </c>
      <c r="C159" s="101">
        <f>IF(FN_MC!B164="","*",FN_MC!B164)</f>
        <v>46069</v>
      </c>
      <c r="D159" s="101" t="str">
        <f>IF(FN_MC!D164="","*",FN_MC!D164)</f>
        <v>W70</v>
      </c>
      <c r="E159" s="101" t="str">
        <f>IF(FN_MC!H164="","*",FN_MC!H164)</f>
        <v>TAG</v>
      </c>
      <c r="F159" s="114" t="str">
        <f>IF(FN_MC!M164="","*",FN_MC!M164)</f>
        <v>TVL-TBR</v>
      </c>
      <c r="G159" s="101" t="str">
        <f>IF(FN_MC!I164="","*",FN_MC!I164)</f>
        <v>TAG</v>
      </c>
      <c r="H159" s="101" t="str">
        <f>IF(FN_MC!AB164="","*",FN_MC!AB164)</f>
        <v>FIXO</v>
      </c>
      <c r="I159" s="101" t="str">
        <f>IF(FN_MC!AC164="","*",FN_MC!AC164)</f>
        <v>*</v>
      </c>
      <c r="J159" s="102" t="str">
        <f>IF(FN_MC!AA164="","*",FN_MC!AA164)</f>
        <v>2 (Enio e Daniel)</v>
      </c>
      <c r="K159" s="112">
        <f>IF(FN_MC!AD164="","*",FN_MC!AD164)</f>
        <v>0.29166666666666669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OPORTUNIDADE</v>
      </c>
      <c r="C161" s="101">
        <f>IF(FN_MC!B166="","*",FN_MC!B166)</f>
        <v>46069</v>
      </c>
      <c r="D161" s="101" t="str">
        <f>IF(FN_MC!D166="","*",FN_MC!D166)</f>
        <v>ELSON (TF-526)</v>
      </c>
      <c r="E161" s="101" t="str">
        <f>IF(FN_MC!H166="","*",FN_MC!H166)</f>
        <v>TPC440</v>
      </c>
      <c r="F161" s="114" t="str">
        <f>IF(FN_MC!M166="","*",FN_MC!M166)</f>
        <v>TPC-TVL</v>
      </c>
      <c r="G161" s="101" t="str">
        <f>IF(FN_MC!I166="","*",FN_MC!I166)</f>
        <v>-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-</v>
      </c>
      <c r="K161" s="112" t="str">
        <f>IF(FN_MC!AD166="","*",FN_MC!AD166)</f>
        <v>-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OPORTUNIDADE</v>
      </c>
      <c r="C163" s="101">
        <f>IF(FN_MC!B168="","*",FN_MC!B168)</f>
        <v>46069</v>
      </c>
      <c r="D163" s="101" t="str">
        <f>IF(FN_MC!D168="","*",FN_MC!D168)</f>
        <v>A60</v>
      </c>
      <c r="E163" s="101" t="str">
        <f>IF(FN_MC!H168="","*",FN_MC!H168)</f>
        <v>TCS</v>
      </c>
      <c r="F163" s="114" t="str">
        <f>IF(FN_MC!M168="","*",FN_MC!M168)</f>
        <v>TCS-TIN</v>
      </c>
      <c r="G163" s="101" t="str">
        <f>IF(FN_MC!I168="","*",FN_MC!I168)</f>
        <v>TIN1</v>
      </c>
      <c r="H163" s="101" t="str">
        <f>IF(FN_MC!AB168="","*",FN_MC!AB168)</f>
        <v>FIXO</v>
      </c>
      <c r="I163" s="101" t="str">
        <f>IF(FN_MC!AC168="","*",FN_MC!AC168)</f>
        <v>*</v>
      </c>
      <c r="J163" s="102">
        <f>IF(FN_MC!AA168="","*",FN_MC!AA168)</f>
        <v>1</v>
      </c>
      <c r="K163" s="112">
        <f>IF(FN_MC!AD168="","*",FN_MC!AD168)</f>
        <v>0.29166666666666669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OPORTUNIDADE</v>
      </c>
      <c r="C165" s="101">
        <f>IF(FN_MC!B170="","*",FN_MC!B170)</f>
        <v>46069</v>
      </c>
      <c r="D165" s="101" t="str">
        <f>IF(FN_MC!D170="","*",FN_MC!D170)</f>
        <v>W50</v>
      </c>
      <c r="E165" s="101" t="str">
        <f>IF(FN_MC!H170="","*",FN_MC!H170)</f>
        <v>TCS</v>
      </c>
      <c r="F165" s="114" t="str">
        <f>IF(FN_MC!M170="","*",FN_MC!M170)</f>
        <v>TVI-TJA</v>
      </c>
      <c r="G165" s="101" t="str">
        <f>IF(FN_MC!I170="","*",FN_MC!I170)</f>
        <v>TCS</v>
      </c>
      <c r="H165" s="101" t="str">
        <f>IF(FN_MC!AB170="","*",FN_MC!AB170)</f>
        <v>FIXO</v>
      </c>
      <c r="I165" s="101" t="str">
        <f>IF(FN_MC!AC170="","*",FN_MC!AC170)</f>
        <v>*</v>
      </c>
      <c r="J165" s="102" t="str">
        <f>IF(FN_MC!AA170="","*",FN_MC!AA170)</f>
        <v>2 (Maicon e Eder)</v>
      </c>
      <c r="K165" s="112">
        <f>IF(FN_MC!AD170="","*",FN_MC!AD170)</f>
        <v>0.29166666666666669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V48</v>
      </c>
      <c r="E166" s="101" t="str">
        <f>IF(FN_MC!H171="","*",FN_MC!H171)</f>
        <v>ZSF</v>
      </c>
      <c r="F166" s="114" t="str">
        <f>IF(FN_MC!M171="","*",FN_MC!M171)</f>
        <v>ZSF-TVI</v>
      </c>
      <c r="G166" s="101" t="str">
        <f>IF(FN_MC!I171="","*",FN_MC!I171)</f>
        <v>TVI1</v>
      </c>
      <c r="H166" s="101" t="str">
        <f>IF(FN_MC!AB171="","*",FN_MC!AB171)</f>
        <v>FIXO</v>
      </c>
      <c r="I166" s="101" t="str">
        <f>IF(FN_MC!AC171="","*",FN_MC!AC171)</f>
        <v>*</v>
      </c>
      <c r="J166" s="102">
        <f>IF(FN_MC!AA171="","*",FN_MC!AA171)</f>
        <v>1</v>
      </c>
      <c r="K166" s="112">
        <f>IF(FN_MC!AD171="","*",FN_MC!AD171)</f>
        <v>0.29166666666666669</v>
      </c>
    </row>
    <row r="167" spans="2:11" hidden="1">
      <c r="B167" s="100" t="str">
        <f>IF(FN_MC!Y172="","*",FN_MC!Y172)</f>
        <v>OPORTUNIDADE</v>
      </c>
      <c r="C167" s="101">
        <f>IF(FN_MC!B172="","*",FN_MC!B172)</f>
        <v>46069</v>
      </c>
      <c r="D167" s="101" t="str">
        <f>IF(FN_MC!D172="","*",FN_MC!D172)</f>
        <v>MARCOS (TF-520)</v>
      </c>
      <c r="E167" s="101" t="str">
        <f>IF(FN_MC!H172="","*",FN_MC!H172)</f>
        <v>TMO1</v>
      </c>
      <c r="F167" s="114" t="str">
        <f>IF(FN_MC!M172="","*",FN_MC!M172)</f>
        <v>TMO</v>
      </c>
      <c r="G167" s="101" t="str">
        <f>IF(FN_MC!I172="","*",FN_MC!I172)</f>
        <v>-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-</v>
      </c>
      <c r="K167" s="112" t="str">
        <f>IF(FN_MC!AD172="","*",FN_MC!AD172)</f>
        <v>*</v>
      </c>
    </row>
    <row r="168" spans="2:11" hidden="1">
      <c r="B168" s="100" t="str">
        <f>IF(FN_MC!Y173="","*",FN_MC!Y173)</f>
        <v>OPORTUNIDADE</v>
      </c>
      <c r="C168" s="101">
        <f>IF(FN_MC!B173="","*",FN_MC!B173)</f>
        <v>46069</v>
      </c>
      <c r="D168" s="101" t="str">
        <f>IF(FN_MC!D173="","*",FN_MC!D173)</f>
        <v>W48</v>
      </c>
      <c r="E168" s="101" t="str">
        <f>IF(FN_MC!H173="","*",FN_MC!H173)</f>
        <v>TAP</v>
      </c>
      <c r="F168" s="114" t="str">
        <f>IF(FN_MC!M173="","*",FN_MC!M173)</f>
        <v>TAP-TIN</v>
      </c>
      <c r="G168" s="101" t="str">
        <f>IF(FN_MC!I173="","*",FN_MC!I173)</f>
        <v>TIN1</v>
      </c>
      <c r="H168" s="101" t="str">
        <f>IF(FN_MC!AB173="","*",FN_MC!AB173)</f>
        <v>FIXO</v>
      </c>
      <c r="I168" s="101" t="str">
        <f>IF(FN_MC!AC173="","*",FN_MC!AC173)</f>
        <v>*</v>
      </c>
      <c r="J168" s="102">
        <f>IF(FN_MC!AA173="","*",FN_MC!AA173)</f>
        <v>1</v>
      </c>
      <c r="K168" s="112">
        <f>IF(FN_MC!AD173="","*",FN_MC!AD173)</f>
        <v>0.29166666666666669</v>
      </c>
    </row>
    <row r="169" spans="2:11" hidden="1">
      <c r="B169" s="100" t="str">
        <f>IF(FN_MC!Y174="","*",FN_MC!Y174)</f>
        <v>OPORTUNIDADE</v>
      </c>
      <c r="C169" s="101">
        <f>IF(FN_MC!B174="","*",FN_MC!B174)</f>
        <v>46069</v>
      </c>
      <c r="D169" s="101" t="str">
        <f>IF(FN_MC!D174="","*",FN_MC!D174)</f>
        <v>V97</v>
      </c>
      <c r="E169" s="101" t="str">
        <f>IF(FN_MC!H174="","*",FN_MC!H174)</f>
        <v>ZIQ</v>
      </c>
      <c r="F169" s="114" t="str">
        <f>IF(FN_MC!M174="","*",FN_MC!M174)</f>
        <v>ZIQ-ZQY</v>
      </c>
      <c r="G169" s="101" t="str">
        <f>IF(FN_MC!I174="","*",FN_MC!I174)</f>
        <v>ZFH</v>
      </c>
      <c r="H169" s="101" t="str">
        <f>IF(FN_MC!AB174="","*",FN_MC!AB174)</f>
        <v>FIXO</v>
      </c>
      <c r="I169" s="101" t="str">
        <f>IF(FN_MC!AC174="","*",FN_MC!AC174)</f>
        <v>*</v>
      </c>
      <c r="J169" s="102">
        <f>IF(FN_MC!AA174="","*",FN_MC!AA174)</f>
        <v>1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 hidden="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 hidden="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 hidden="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 hidden="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 hidden="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 hidden="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 hidden="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 hidden="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 hidden="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 hidden="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 hidden="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 hidden="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 hidden="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 hidden="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 hidden="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 hidden="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 hidden="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 hidden="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 hidden="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 hidden="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 hidden="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 hidden="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 hidden="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 hidden="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 hidden="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 hidden="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 hidden="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 hidden="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 hidden="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 hidden="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 hidden="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 hidden="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 hidden="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 hidden="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 hidden="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 hidden="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 hidden="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 hidden="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 hidden="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 hidden="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 hidden="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 hidden="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 hidden="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 hidden="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 hidden="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 hidden="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 hidden="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 hidden="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 hidden="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 hidden="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 hidden="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 hidden="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 hidden="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 hidden="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 hidden="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 hidden="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 hidden="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 hidden="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 hidden="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 hidden="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 hidden="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 hidden="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 hidden="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 hidden="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 hidden="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 hidden="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 hidden="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 hidden="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 hidden="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 hidden="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 hidden="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 hidden="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 hidden="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 hidden="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 hidden="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 hidden="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 hidden="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 hidden="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 hidden="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 hidden="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 hidden="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 hidden="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 hidden="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 hidden="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 hidden="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 hidden="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 hidden="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 hidden="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 hidden="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 hidden="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 hidden="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 hidden="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 hidden="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 hidden="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 hidden="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 hidden="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 hidden="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 hidden="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 hidden="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 hidden="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 hidden="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 hidden="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 hidden="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 hidden="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 hidden="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 hidden="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 hidden="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 hidden="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 hidden="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 hidden="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 hidden="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 hidden="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 hidden="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 hidden="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 hidden="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 hidden="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 hidden="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 hidden="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 hidden="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 hidden="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 hidden="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 hidden="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 hidden="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 hidden="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 hidden="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 hidden="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 hidden="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 hidden="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 hidden="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 hidden="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 hidden="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 hidden="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 hidden="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 hidden="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 hidden="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 hidden="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 hidden="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 hidden="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 hidden="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 hidden="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 hidden="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 hidden="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 hidden="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 hidden="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 hidden="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 hidden="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 hidden="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 hidden="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 hidden="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 hidden="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 hidden="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 hidden="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 hidden="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 hidden="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 hidden="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 hidden="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 hidden="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 hidden="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 hidden="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 hidden="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 hidden="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 hidden="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 hidden="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 hidden="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 hidden="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 hidden="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 hidden="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 hidden="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 hidden="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 hidden="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 hidden="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 hidden="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 hidden="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 hidden="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 hidden="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 hidden="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 hidden="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 hidden="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 hidden="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 hidden="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 hidden="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 hidden="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 hidden="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 hidden="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 hidden="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 hidden="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 hidden="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 hidden="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 hidden="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 hidden="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 hidden="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 hidden="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 hidden="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 hidden="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 hidden="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 hidden="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 hidden="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 hidden="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 hidden="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 hidden="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 hidden="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 hidden="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 hidden="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 hidden="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 hidden="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 hidden="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 hidden="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 hidden="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 hidden="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 hidden="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 hidden="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 hidden="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 hidden="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 hidden="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 hidden="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 hidden="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 hidden="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 hidden="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 hidden="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 hidden="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 hidden="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 hidden="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 hidden="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 hidden="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 hidden="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 hidden="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 hidden="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 hidden="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 hidden="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 hidden="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 hidden="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 hidden="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 hidden="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 hidden="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 hidden="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 hidden="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 hidden="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 hidden="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 hidden="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 hidden="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 hidden="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 hidden="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 hidden="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 hidden="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 hidden="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 hidden="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 hidden="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 hidden="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 hidden="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 hidden="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 hidden="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 hidden="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 hidden="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 hidden="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 hidden="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 hidden="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 hidden="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 hidden="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 hidden="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 hidden="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 hidden="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 hidden="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 hidden="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 hidden="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 hidden="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 hidden="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 hidden="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 hidden="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 hidden="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 hidden="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 hidden="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 hidden="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 hidden="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 hidden="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 hidden="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 hidden="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 hidden="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 hidden="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 hidden="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 hidden="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 hidden="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 hidden="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 hidden="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 hidden="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 hidden="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 hidden="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 hidden="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 hidden="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 hidden="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 hidden="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 hidden="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 hidden="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 hidden="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 hidden="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 hidden="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 hidden="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 hidden="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 hidden="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 hidden="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 hidden="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 hidden="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 hidden="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 hidden="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 hidden="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 hidden="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 hidden="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 hidden="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 hidden="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 hidden="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 hidden="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 hidden="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 hidden="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 hidden="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 hidden="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 hidden="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 hidden="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 hidden="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 hidden="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 hidden="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 hidden="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 hidden="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 hidden="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 hidden="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 hidden="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 hidden="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 hidden="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 hidden="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 hidden="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 hidden="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 hidden="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 hidden="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 hidden="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 hidden="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 hidden="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 hidden="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 hidden="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 hidden="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 hidden="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 hidden="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 hidden="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 hidden="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 hidden="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 hidden="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 hidden="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 hidden="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 hidden="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 hidden="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 hidden="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 hidden="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 hidden="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 hidden="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 hidden="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 hidden="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 hidden="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 hidden="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 hidden="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 hidden="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 hidden="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 hidden="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 hidden="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 hidden="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 hidden="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 hidden="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 hidden="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 hidden="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 hidden="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 hidden="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 hidden="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 hidden="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 hidden="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 hidden="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 hidden="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 hidden="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 hidden="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 hidden="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 hidden="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 hidden="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 hidden="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 hidden="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 hidden="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 hidden="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 hidden="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 hidden="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 hidden="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 hidden="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 hidden="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 hidden="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 hidden="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 hidden="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 hidden="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 hidden="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 hidden="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 hidden="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 hidden="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 hidden="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 hidden="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 hidden="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 hidden="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 hidden="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 hidden="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 hidden="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 hidden="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 hidden="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 hidden="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 hidden="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 hidden="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 hidden="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 hidden="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 hidden="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 hidden="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 hidden="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 hidden="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 hidden="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 hidden="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 hidden="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 hidden="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 hidden="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 hidden="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 hidden="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 hidden="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 hidden="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 hidden="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 hidden="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 hidden="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 hidden="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 hidden="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 hidden="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 hidden="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 hidden="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 hidden="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 hidden="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 hidden="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 hidden="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 hidden="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 hidden="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 hidden="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 hidden="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 hidden="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 hidden="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 hidden="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 hidden="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 hidden="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 hidden="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 hidden="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 hidden="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 hidden="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 hidden="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 hidden="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 hidden="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 hidden="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 hidden="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 hidden="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 hidden="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 hidden="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 hidden="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 hidden="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 hidden="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 hidden="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 hidden="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 hidden="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 hidden="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 hidden="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 hidden="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 hidden="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 hidden="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 hidden="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 hidden="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 hidden="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 hidden="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 hidden="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 hidden="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 hidden="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 hidden="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 hidden="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 hidden="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 hidden="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 hidden="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 hidden="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 hidden="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 hidden="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 hidden="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 hidden="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 hidden="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 hidden="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 hidden="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 hidden="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 hidden="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 hidden="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 hidden="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 hidden="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 hidden="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 hidden="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 hidden="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 hidden="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 hidden="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 hidden="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 hidden="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 hidden="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 hidden="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 hidden="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 hidden="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 hidden="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 hidden="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 hidden="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 hidden="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 hidden="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 hidden="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 hidden="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 hidden="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 hidden="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 hidden="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 hidden="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 hidden="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 hidden="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 hidden="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 hidden="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 hidden="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 hidden="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 hidden="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 hidden="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 hidden="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 hidden="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 hidden="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 hidden="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 hidden="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 hidden="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 hidden="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 hidden="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 hidden="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 hidden="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 hidden="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 hidden="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 hidden="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 hidden="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 hidden="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 hidden="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 hidden="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 hidden="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 hidden="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 hidden="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 hidden="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 hidden="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 hidden="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 hidden="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 hidden="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 hidden="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 hidden="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 hidden="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 hidden="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 hidden="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 hidden="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 hidden="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 hidden="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 hidden="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 hidden="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 hidden="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 hidden="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 hidden="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 hidden="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 hidden="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 hidden="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 hidden="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 hidden="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 hidden="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 hidden="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 hidden="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 hidden="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 hidden="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 hidden="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 hidden="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 hidden="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 hidden="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 hidden="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 hidden="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 hidden="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 hidden="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 hidden="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 hidden="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 hidden="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 hidden="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 hidden="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 hidden="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 hidden="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 hidden="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 hidden="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 hidden="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 hidden="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 hidden="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 hidden="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 hidden="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 hidden="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 hidden="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 hidden="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 hidden="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 hidden="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 hidden="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 hidden="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 hidden="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 hidden="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 hidden="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 hidden="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 hidden="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 hidden="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 hidden="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 hidden="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 hidden="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 hidden="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 hidden="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 hidden="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 hidden="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 hidden="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 hidden="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 hidden="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 hidden="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 hidden="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 hidden="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 hidden="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 hidden="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 hidden="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 hidden="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 hidden="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 hidden="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 hidden="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 hidden="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 hidden="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 hidden="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 hidden="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 hidden="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 hidden="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 hidden="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 hidden="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 hidden="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 hidden="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 hidden="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 hidden="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 hidden="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 hidden="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 hidden="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 hidden="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 hidden="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 hidden="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 hidden="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 hidden="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 hidden="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 hidden="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 hidden="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 hidden="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 hidden="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 hidden="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 hidden="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 hidden="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 hidden="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 hidden="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 hidden="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 hidden="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 hidden="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 hidden="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 hidden="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 hidden="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 hidden="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 hidden="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 hidden="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 hidden="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 hidden="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 hidden="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 hidden="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 hidden="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 hidden="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 hidden="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 hidden="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 hidden="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 hidden="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 hidden="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 hidden="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 hidden="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 hidden="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 hidden="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 hidden="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 hidden="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 hidden="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 hidden="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 hidden="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 hidden="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 hidden="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 hidden="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 hidden="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 hidden="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 hidden="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 hidden="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 hidden="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 hidden="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 hidden="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 hidden="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 hidden="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 hidden="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 hidden="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 hidden="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 hidden="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 hidden="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 hidden="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 hidden="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 hidden="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 hidden="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 hidden="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 hidden="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 hidden="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 hidden="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 hidden="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 hidden="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 hidden="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 hidden="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 hidden="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 hidden="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 hidden="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 hidden="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 hidden="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 hidden="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 hidden="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 hidden="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 hidden="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 hidden="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 hidden="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 hidden="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 hidden="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 hidden="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 hidden="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 hidden="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 hidden="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 hidden="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 hidden="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 hidden="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 hidden="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 hidden="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 hidden="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 hidden="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 hidden="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 hidden="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 hidden="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 hidden="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 hidden="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 hidden="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 hidden="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 hidden="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 hidden="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 hidden="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 hidden="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 hidden="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 hidden="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topLeftCell="Q1" workbookViewId="0">
      <selection activeCell="A2" sqref="A2:T17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1614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1615</v>
      </c>
      <c r="B3" s="91" t="s">
        <v>1616</v>
      </c>
      <c r="C3" s="91" t="s">
        <v>7</v>
      </c>
      <c r="D3" s="92" t="s">
        <v>1211</v>
      </c>
      <c r="E3" s="92" t="s">
        <v>366</v>
      </c>
      <c r="F3" s="92" t="s">
        <v>1617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1618</v>
      </c>
      <c r="T3" s="94" t="s">
        <v>1214</v>
      </c>
      <c r="U3" s="90">
        <f ca="1">TODAY()-1</f>
        <v>46068</v>
      </c>
      <c r="V3" s="90">
        <f ca="1">U3-1</f>
        <v>46067</v>
      </c>
      <c r="W3" s="90">
        <f ca="1">V3-1</f>
        <v>46066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20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20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3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20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3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857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1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20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3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857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20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3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857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20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3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857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1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3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20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3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857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312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20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3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857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27</v>
      </c>
      <c r="W103" s="98">
        <f ca="1">_xlfn.XLOOKUP(G103&amp;$W$3,BS_CONTROLE[CHAVE],BS_CONTROLE[Quantidade_11],"-")</f>
        <v>20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3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857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312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>
        <f ca="1">_xlfn.XLOOKUP(G111&amp;$W$3,BS_CONTROLE[CHAVE],BS_CONTROLE[Quantidade_11],"-")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27</v>
      </c>
      <c r="W114" s="98">
        <f ca="1">_xlfn.XLOOKUP(G114&amp;$W$3,BS_CONTROLE[CHAVE],BS_CONTROLE[Quantidade_11],"-")</f>
        <v>20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857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2698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312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>
        <f ca="1">_xlfn.XLOOKUP(G130&amp;$W$3,BS_CONTROLE[CHAVE],BS_CONTROLE[Quantidade_11],"-")</f>
        <v>1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27</v>
      </c>
      <c r="W133" s="98">
        <f ca="1">_xlfn.XLOOKUP(G133&amp;$W$3,BS_CONTROLE[CHAVE],BS_CONTROLE[Quantidade_11],"-")</f>
        <v>20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 t="str">
        <f ca="1">_xlfn.XLOOKUP(G137&amp;$U$3,BS_CONTROLE[CHAVE],BS_CONTROLE[Quantidade_11],"-")</f>
        <v>-</v>
      </c>
      <c r="V137" s="98">
        <f ca="1">_xlfn.XLOOKUP(G137&amp;$V$3,BS_CONTROLE[CHAVE],BS_CONTROLE[Quantidade_11],"-")</f>
        <v>2</v>
      </c>
      <c r="W137" s="98">
        <f ca="1">_xlfn.XLOOKUP(G137&amp;$W$3,BS_CONTROLE[CHAVE],BS_CONTROLE[Quantidade_11],"-")</f>
        <v>3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>
        <f ca="1">_xlfn.XLOOKUP(G138&amp;$W$3,BS_CONTROLE[CHAVE],BS_CONTROLE[Quantidade_11],"-")</f>
        <v>857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2698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 t="str">
        <f ca="1">_xlfn.XLOOKUP(G142&amp;$U$3,BS_CONTROLE[CHAVE],BS_CONTROLE[Quantidade_11],"-")</f>
        <v>-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312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46066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1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1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107">
        <f>IF(FN_MC!O150="","*",FN_MC!O150)</f>
        <v>0.4375</v>
      </c>
      <c r="Q148" s="107">
        <f>IF(FN_MC!P150="","*",FN_MC!P150)</f>
        <v>4.1666666666666664E-2</v>
      </c>
      <c r="R148" s="96" t="str">
        <f>IF(FN_MC!Q150="","*",CONCATENATE(FN_MC!Q150," ",FN_MC!R150))</f>
        <v>1 BINÁRIO</v>
      </c>
      <c r="S148" s="96" t="str">
        <f>IF(FN_MC!V150="","*",FN_MC!V150)</f>
        <v>Antonioni</v>
      </c>
      <c r="T148" s="96" t="str">
        <f>IF(FN_MC!W150="","*",FN_MC!W150)</f>
        <v>Deslocamento de TSF para TIQ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*</v>
      </c>
      <c r="L149" s="196" t="str">
        <f>IF(FN_MC!N151="","*",FN_MC!N151)</f>
        <v>*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*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OPORTUNIDADE</v>
      </c>
      <c r="B150" s="95" t="str">
        <f>IF(FN_MC!X152="","*",FN_MC!X152)</f>
        <v>Oportunidade</v>
      </c>
      <c r="C150" s="95" t="str">
        <f>IF(FN_MC!Z152="","*",FN_MC!Z152)</f>
        <v>*</v>
      </c>
      <c r="D150" s="96" t="str">
        <f>IF(FN_MC!S152="","*",FN_MC!S152)</f>
        <v>FERRONORTE</v>
      </c>
      <c r="E150" s="96" t="str">
        <f>IF(FN_MC!T152="","*",FN_MC!T152)</f>
        <v>TGR-TRO</v>
      </c>
      <c r="F150" s="96">
        <f>IF(FN_MC!B152="","*",FN_MC!B152)</f>
        <v>46067</v>
      </c>
      <c r="G150" s="96" t="str">
        <f>IF(FN_MC!D152="","*",FN_MC!D152)</f>
        <v>BRUNO (TF-525)</v>
      </c>
      <c r="H150" s="96" t="str">
        <f>IF(FN_MC!F152="","*",FN_MC!F152)</f>
        <v>PDM - SOLDA</v>
      </c>
      <c r="I150" s="96" t="str">
        <f>IF(FN_MC!H152="","*",FN_MC!H152)</f>
        <v>TBS671</v>
      </c>
      <c r="J150" s="96" t="str">
        <f>IF(FN_MC!I152="","*",FN_MC!I152)</f>
        <v>-</v>
      </c>
      <c r="K150" s="96" t="str">
        <f>IF(FN_MC!M152="","*",FN_MC!M152)</f>
        <v>TBS-TAL</v>
      </c>
      <c r="L150" s="196" t="str">
        <f>IF(FN_MC!N152="","*",FN_MC!N152)</f>
        <v>TBS671</v>
      </c>
      <c r="M150" s="97">
        <f>IF(FN_MC!J152="","*",FN_MC!J152)</f>
        <v>98</v>
      </c>
      <c r="N150" s="183">
        <f>IF(FN_MC!K152="","*",FN_MC!K152)</f>
        <v>662.4</v>
      </c>
      <c r="O150" s="183" t="str">
        <f>IF(FN_MC!L152="","*",FN_MC!L152)</f>
        <v>-</v>
      </c>
      <c r="P150" s="107">
        <f>IF(FN_MC!O152="","*",FN_MC!O152)</f>
        <v>0.375</v>
      </c>
      <c r="Q150" s="107">
        <f>IF(FN_MC!P152="","*",FN_MC!P152)</f>
        <v>6.25E-2</v>
      </c>
      <c r="R150" s="96" t="str">
        <f>IF(FN_MC!Q152="","*",CONCATENATE(FN_MC!Q152," ",FN_MC!R152))</f>
        <v>2 Nº DE SOLDA</v>
      </c>
      <c r="S150" s="96" t="str">
        <f>IF(FN_MC!V152="","*",FN_MC!V152)</f>
        <v>Bruno</v>
      </c>
      <c r="T150" s="96" t="str">
        <f>IF(FN_MC!W152="","*",FN_MC!W152)</f>
        <v xml:space="preserve">Execução de solda - Condicionado a temperatura </v>
      </c>
      <c r="U150" s="98" t="str">
        <f ca="1">_xlfn.XLOOKUP(G150&amp;$U$3,BS_CONTROLE[CHAVE],BS_CONTROLE[Quantidade_11],"-")</f>
        <v>-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46067</v>
      </c>
      <c r="G151" s="96" t="str">
        <f>IF(FN_MC!D153="","*",FN_MC!D153)</f>
        <v>W70</v>
      </c>
      <c r="H151" s="96" t="str">
        <f>IF(FN_MC!F153="","*",FN_MC!F153)</f>
        <v>PDM - PEDRA - CARGA</v>
      </c>
      <c r="I151" s="96" t="str">
        <f>IF(FN_MC!H153="","*",FN_MC!H153)</f>
        <v>TAG</v>
      </c>
      <c r="J151" s="96" t="str">
        <f>IF(FN_MC!I153="","*",FN_MC!I153)</f>
        <v>TAG</v>
      </c>
      <c r="K151" s="96" t="str">
        <f>IF(FN_MC!M153="","*",FN_MC!M153)</f>
        <v>TGR-TBE</v>
      </c>
      <c r="L151" s="196" t="str">
        <f>IF(FN_MC!N153="","*",FN_MC!N153)</f>
        <v>TGR512</v>
      </c>
      <c r="M151" s="97">
        <f>IF(FN_MC!J153="","*",FN_MC!J153)</f>
        <v>98</v>
      </c>
      <c r="N151" s="183">
        <f>IF(FN_MC!K153="","*",FN_MC!K153)</f>
        <v>502</v>
      </c>
      <c r="O151" s="183" t="str">
        <f>IF(FN_MC!L153="","*",FN_MC!L153)</f>
        <v>-</v>
      </c>
      <c r="P151" s="107">
        <f>IF(FN_MC!O153="","*",FN_MC!O153)</f>
        <v>0.41666666666666669</v>
      </c>
      <c r="Q151" s="107">
        <f>IF(FN_MC!P153="","*",FN_MC!P153)</f>
        <v>4.1666666666666664E-2</v>
      </c>
      <c r="R151" s="96" t="str">
        <f>IF(FN_MC!Q153="","*",CONCATENATE(FN_MC!Q153," ",FN_MC!R153))</f>
        <v>27 VAGÕES</v>
      </c>
      <c r="S151" s="96" t="str">
        <f>IF(FN_MC!V153="","*",FN_MC!V153)</f>
        <v>Elton</v>
      </c>
      <c r="T151" s="96" t="str">
        <f>IF(FN_MC!W153="","*",FN_MC!W153)</f>
        <v>Manobrar para 27vgs - carregar de brita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27</v>
      </c>
      <c r="W151" s="98">
        <f ca="1">_xlfn.XLOOKUP(G151&amp;$W$3,BS_CONTROLE[CHAVE],BS_CONTROLE[Quantidade_11],"-")</f>
        <v>20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46067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TIP1</v>
      </c>
      <c r="J154" s="96" t="str">
        <f>IF(FN_MC!I156="","*",FN_MC!I156)</f>
        <v>-</v>
      </c>
      <c r="K154" s="96" t="str">
        <f>IF(FN_MC!M156="","*",FN_MC!M156)</f>
        <v>TIP</v>
      </c>
      <c r="L154" s="196" t="str">
        <f>IF(FN_MC!N156="","*",FN_MC!N156)</f>
        <v>TIP1</v>
      </c>
      <c r="M154" s="97">
        <f>IF(FN_MC!J156="","*",FN_MC!J156)</f>
        <v>74</v>
      </c>
      <c r="N154" s="183">
        <f>IF(FN_MC!K156="","*",FN_MC!K156)</f>
        <v>396.94</v>
      </c>
      <c r="O154" s="18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6.25E-2</v>
      </c>
      <c r="R154" s="96" t="str">
        <f>IF(FN_MC!Q156="","*",CONCATENATE(FN_MC!Q156," ",FN_MC!R156))</f>
        <v>1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3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TMI-TCS</v>
      </c>
      <c r="F155" s="96">
        <f>IF(FN_MC!B157="","*",FN_MC!B157)</f>
        <v>46067</v>
      </c>
      <c r="G155" s="96" t="str">
        <f>IF(FN_MC!D157="","*",FN_MC!D157)</f>
        <v>MARCOS (TF-520)</v>
      </c>
      <c r="H155" s="96" t="str">
        <f>IF(FN_MC!F157="","*",FN_MC!F157)</f>
        <v>PDM - SOLDA</v>
      </c>
      <c r="I155" s="96" t="str">
        <f>IF(FN_MC!H157="","*",FN_MC!H157)</f>
        <v>TAPK35</v>
      </c>
      <c r="J155" s="96" t="str">
        <f>IF(FN_MC!I157="","*",FN_MC!I157)</f>
        <v>-</v>
      </c>
      <c r="K155" s="96" t="str">
        <f>IF(FN_MC!M157="","*",FN_MC!M157)</f>
        <v>TAP-TLG</v>
      </c>
      <c r="L155" s="196" t="str">
        <f>IF(FN_MC!N157="","*",FN_MC!N157)</f>
        <v>TAPK35</v>
      </c>
      <c r="M155" s="97">
        <f>IF(FN_MC!J157="","*",FN_MC!J157)</f>
        <v>74</v>
      </c>
      <c r="N155" s="183">
        <f>IF(FN_MC!K157="","*",FN_MC!K157)</f>
        <v>26.818999999999999</v>
      </c>
      <c r="O155" s="18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8.3333333333333329E-2</v>
      </c>
      <c r="R155" s="96" t="str">
        <f>IF(FN_MC!Q157="","*",CONCATENATE(FN_MC!Q157," ",FN_MC!R157))</f>
        <v>1 Nº DE SOLDA</v>
      </c>
      <c r="S155" s="96" t="str">
        <f>IF(FN_MC!V157="","*",FN_MC!V157)</f>
        <v>Marcos Euzebio</v>
      </c>
      <c r="T155" s="96" t="str">
        <f>IF(FN_MC!W157="","*",FN_MC!W157)</f>
        <v xml:space="preserve">Execução de solda - Condicionado a temperatura 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OPORTUNIDADE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TGR-TRO</v>
      </c>
      <c r="F157" s="96">
        <f>IF(FN_MC!B159="","*",FN_MC!B159)</f>
        <v>46068</v>
      </c>
      <c r="G157" s="96" t="str">
        <f>IF(FN_MC!D159="","*",FN_MC!D159)</f>
        <v>V86</v>
      </c>
      <c r="H157" s="96" t="str">
        <f>IF(FN_MC!F159="","*",FN_MC!F159)</f>
        <v>MECANIZAÇÃO - SOCADORA</v>
      </c>
      <c r="I157" s="96" t="str">
        <f>IF(FN_MC!H159="","*",FN_MC!H159)</f>
        <v>TIQ</v>
      </c>
      <c r="J157" s="96" t="str">
        <f>IF(FN_MC!I159="","*",FN_MC!I159)</f>
        <v>TMJ1</v>
      </c>
      <c r="K157" s="96" t="str">
        <f>IF(FN_MC!M159="","*",FN_MC!M159)</f>
        <v>TAL-TSF</v>
      </c>
      <c r="L157" s="196" t="str">
        <f>IF(FN_MC!N159="","*",FN_MC!N159)</f>
        <v>TBS1</v>
      </c>
      <c r="M157" s="97">
        <f>IF(FN_MC!J159="","*",FN_MC!J159)</f>
        <v>98</v>
      </c>
      <c r="N157" s="183">
        <f>IF(FN_MC!K159="","*",FN_MC!K159)</f>
        <v>659.976</v>
      </c>
      <c r="O157" s="183">
        <f>IF(FN_MC!L159="","*",FN_MC!L159)</f>
        <v>662.91099999999994</v>
      </c>
      <c r="P157" s="107">
        <f>IF(FN_MC!O159="","*",FN_MC!O159)</f>
        <v>0.4375</v>
      </c>
      <c r="Q157" s="107">
        <f>IF(FN_MC!P159="","*",FN_MC!P159)</f>
        <v>0.125</v>
      </c>
      <c r="R157" s="96" t="str">
        <f>IF(FN_MC!Q159="","*",CONCATENATE(FN_MC!Q159," ",FN_MC!R159))</f>
        <v>1680 M</v>
      </c>
      <c r="S157" s="96" t="str">
        <f>IF(FN_MC!V159="","*",FN_MC!V159)</f>
        <v>Antonioni</v>
      </c>
      <c r="T157" s="96" t="str">
        <f>IF(FN_MC!W159="","*",FN_MC!W159)</f>
        <v>Socaria mecanizada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OPORTUNIDADE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FERRONORTE</v>
      </c>
      <c r="E159" s="96" t="str">
        <f>IF(FN_MC!T161="","*",FN_MC!T161)</f>
        <v>TGR-TRO</v>
      </c>
      <c r="F159" s="96">
        <f>IF(FN_MC!B161="","*",FN_MC!B161)</f>
        <v>46069</v>
      </c>
      <c r="G159" s="96" t="str">
        <f>IF(FN_MC!D161="","*",FN_MC!D161)</f>
        <v>BRUNO (TF-525)</v>
      </c>
      <c r="H159" s="96" t="str">
        <f>IF(FN_MC!F161="","*",FN_MC!F161)</f>
        <v>PDM - SOLDA</v>
      </c>
      <c r="I159" s="96" t="str">
        <f>IF(FN_MC!H161="","*",FN_MC!H161)</f>
        <v>TBS671</v>
      </c>
      <c r="J159" s="96" t="str">
        <f>IF(FN_MC!I161="","*",FN_MC!I161)</f>
        <v>-</v>
      </c>
      <c r="K159" s="96" t="str">
        <f>IF(FN_MC!M161="","*",FN_MC!M161)</f>
        <v>TBS-TAL</v>
      </c>
      <c r="L159" s="196" t="str">
        <f>IF(FN_MC!N161="","*",FN_MC!N161)</f>
        <v>TBS671</v>
      </c>
      <c r="M159" s="97">
        <f>IF(FN_MC!J161="","*",FN_MC!J161)</f>
        <v>98</v>
      </c>
      <c r="N159" s="183">
        <f>IF(FN_MC!K161="","*",FN_MC!K161)</f>
        <v>662.4</v>
      </c>
      <c r="O159" s="183" t="str">
        <f>IF(FN_MC!L161="","*",FN_MC!L161)</f>
        <v>-</v>
      </c>
      <c r="P159" s="107">
        <f>IF(FN_MC!O161="","*",FN_MC!O161)</f>
        <v>0.375</v>
      </c>
      <c r="Q159" s="107">
        <f>IF(FN_MC!P161="","*",FN_MC!P161)</f>
        <v>6.25E-2</v>
      </c>
      <c r="R159" s="96" t="str">
        <f>IF(FN_MC!Q161="","*",CONCATENATE(FN_MC!Q161," ",FN_MC!R161))</f>
        <v>2 Nº DE SOLDA</v>
      </c>
      <c r="S159" s="96" t="str">
        <f>IF(FN_MC!V161="","*",FN_MC!V161)</f>
        <v>Camila</v>
      </c>
      <c r="T159" s="96" t="str">
        <f>IF(FN_MC!W161="","*",FN_MC!W161)</f>
        <v xml:space="preserve">Execução de solda - Condicionado a temperatura 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2</v>
      </c>
      <c r="W159" s="98">
        <f ca="1">_xlfn.XLOOKUP(G159&amp;$W$3,BS_CONTROLE[CHAVE],BS_CONTROLE[Quantidade_11],"-")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TGR-TRO</v>
      </c>
      <c r="F160" s="96">
        <f>IF(FN_MC!B162="","*",FN_MC!B162)</f>
        <v>46069</v>
      </c>
      <c r="G160" s="96" t="str">
        <f>IF(FN_MC!D162="","*",FN_MC!D162)</f>
        <v>V86</v>
      </c>
      <c r="H160" s="96" t="str">
        <f>IF(FN_MC!F162="","*",FN_MC!F162)</f>
        <v>MECANIZAÇÃO - SOCADORA</v>
      </c>
      <c r="I160" s="96" t="str">
        <f>IF(FN_MC!H162="","*",FN_MC!H162)</f>
        <v>TIQ</v>
      </c>
      <c r="J160" s="96" t="str">
        <f>IF(FN_MC!I162="","*",FN_MC!I162)</f>
        <v xml:space="preserve">TIQ </v>
      </c>
      <c r="K160" s="96" t="str">
        <f>IF(FN_MC!M162="","*",FN_MC!M162)</f>
        <v>TBS</v>
      </c>
      <c r="L160" s="196" t="str">
        <f>IF(FN_MC!N162="","*",FN_MC!N162)</f>
        <v>TBS1</v>
      </c>
      <c r="M160" s="97">
        <f>IF(FN_MC!J162="","*",FN_MC!J162)</f>
        <v>98</v>
      </c>
      <c r="N160" s="183">
        <f>IF(FN_MC!K162="","*",FN_MC!K162)</f>
        <v>659.976</v>
      </c>
      <c r="O160" s="183">
        <f>IF(FN_MC!L162="","*",FN_MC!L162)</f>
        <v>662.91099999999994</v>
      </c>
      <c r="P160" s="107">
        <f>IF(FN_MC!O162="","*",FN_MC!O162)</f>
        <v>0.4375</v>
      </c>
      <c r="Q160" s="107">
        <f>IF(FN_MC!P162="","*",FN_MC!P162)</f>
        <v>0.125</v>
      </c>
      <c r="R160" s="96" t="str">
        <f>IF(FN_MC!Q162="","*",CONCATENATE(FN_MC!Q162," ",FN_MC!R162))</f>
        <v>1680 M</v>
      </c>
      <c r="S160" s="96" t="str">
        <f>IF(FN_MC!V162="","*",FN_MC!V162)</f>
        <v>Antonioni</v>
      </c>
      <c r="T160" s="96" t="str">
        <f>IF(FN_MC!W162="","*",FN_MC!W162)</f>
        <v>Socaria mecanizada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1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IF(FN_MC!Y164="","*",FN_MC!Y164)</f>
        <v>OPORTUNIDADE</v>
      </c>
      <c r="B162" s="95" t="str">
        <f>IF(FN_MC!X164="","*",FN_MC!X164)</f>
        <v>Oportunidade</v>
      </c>
      <c r="C162" s="95" t="str">
        <f>IF(FN_MC!Z164="","*",FN_MC!Z164)</f>
        <v>*</v>
      </c>
      <c r="D162" s="96" t="str">
        <f>IF(FN_MC!S164="","*",FN_MC!S164)</f>
        <v>FERRONORTE</v>
      </c>
      <c r="E162" s="96" t="str">
        <f>IF(FN_MC!T164="","*",FN_MC!T164)</f>
        <v>TCS-TGR</v>
      </c>
      <c r="F162" s="96">
        <f>IF(FN_MC!B164="","*",FN_MC!B164)</f>
        <v>46069</v>
      </c>
      <c r="G162" s="96" t="str">
        <f>IF(FN_MC!D164="","*",FN_MC!D164)</f>
        <v>W70</v>
      </c>
      <c r="H162" s="96" t="str">
        <f>IF(FN_MC!F164="","*",FN_MC!F164)</f>
        <v>PDM - PEDRA - DESCARGA</v>
      </c>
      <c r="I162" s="96" t="str">
        <f>IF(FN_MC!H164="","*",FN_MC!H164)</f>
        <v>TAG</v>
      </c>
      <c r="J162" s="96" t="str">
        <f>IF(FN_MC!I164="","*",FN_MC!I164)</f>
        <v>TAG</v>
      </c>
      <c r="K162" s="96" t="str">
        <f>IF(FN_MC!M164="","*",FN_MC!M164)</f>
        <v>TVL-TBR</v>
      </c>
      <c r="L162" s="196" t="str">
        <f>IF(FN_MC!N164="","*",FN_MC!N164)</f>
        <v>464TBR</v>
      </c>
      <c r="M162" s="97">
        <f>IF(FN_MC!J164="","*",FN_MC!J164)</f>
        <v>74</v>
      </c>
      <c r="N162" s="183">
        <f>IF(FN_MC!K164="","*",FN_MC!K164)</f>
        <v>472.2</v>
      </c>
      <c r="O162" s="183">
        <f>IF(FN_MC!L164="","*",FN_MC!L164)</f>
        <v>465.8</v>
      </c>
      <c r="P162" s="107">
        <f>IF(FN_MC!O164="","*",FN_MC!O164)</f>
        <v>0.41666666666666669</v>
      </c>
      <c r="Q162" s="107">
        <f>IF(FN_MC!P164="","*",FN_MC!P164)</f>
        <v>0.125</v>
      </c>
      <c r="R162" s="96" t="str">
        <f>IF(FN_MC!Q164="","*",CONCATENATE(FN_MC!Q164," ",FN_MC!R164))</f>
        <v>27 VAGÕES</v>
      </c>
      <c r="S162" s="96" t="str">
        <f>IF(FN_MC!V164="","*",FN_MC!V164)</f>
        <v>Elton</v>
      </c>
      <c r="T162" s="96" t="str">
        <f>IF(FN_MC!W164="","*",FN_MC!W164)</f>
        <v xml:space="preserve">Desacarga de pedra </v>
      </c>
      <c r="U162" s="98" t="str">
        <f ca="1">_xlfn.XLOOKUP(G162&amp;$U$3,BS_CONTROLE[CHAVE],BS_CONTROLE[Quantidade_11],"-")</f>
        <v>-</v>
      </c>
      <c r="V162" s="98">
        <f ca="1">_xlfn.XLOOKUP(G162&amp;$V$3,BS_CONTROLE[CHAVE],BS_CONTROLE[Quantidade_11],"-")</f>
        <v>27</v>
      </c>
      <c r="W162" s="98">
        <f ca="1">_xlfn.XLOOKUP(G162&amp;$W$3,BS_CONTROLE[CHAVE],BS_CONTROLE[Quantidade_11],"-")</f>
        <v>20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IF(FN_MC!Y166="","*",FN_MC!Y166)</f>
        <v>OPORTUNIDADE</v>
      </c>
      <c r="B164" s="95" t="str">
        <f>IF(FN_MC!X166="","*",FN_MC!X166)</f>
        <v>Oportunidade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TCS-TGR</v>
      </c>
      <c r="F164" s="96">
        <f>IF(FN_MC!B166="","*",FN_MC!B166)</f>
        <v>46069</v>
      </c>
      <c r="G164" s="96" t="str">
        <f>IF(FN_MC!D166="","*",FN_MC!D166)</f>
        <v>ELSON (TF-526)</v>
      </c>
      <c r="H164" s="96" t="str">
        <f>IF(FN_MC!F166="","*",FN_MC!F166)</f>
        <v>PDM - SOLDA</v>
      </c>
      <c r="I164" s="96" t="str">
        <f>IF(FN_MC!H166="","*",FN_MC!H166)</f>
        <v>TPC440</v>
      </c>
      <c r="J164" s="96" t="str">
        <f>IF(FN_MC!I166="","*",FN_MC!I166)</f>
        <v>-</v>
      </c>
      <c r="K164" s="96" t="str">
        <f>IF(FN_MC!M166="","*",FN_MC!M166)</f>
        <v>TPC-TVL</v>
      </c>
      <c r="L164" s="196" t="str">
        <f>IF(FN_MC!N166="","*",FN_MC!N166)</f>
        <v>TPC440</v>
      </c>
      <c r="M164" s="97">
        <f>IF(FN_MC!J166="","*",FN_MC!J166)</f>
        <v>74</v>
      </c>
      <c r="N164" s="183">
        <f>IF(FN_MC!K166="","*",FN_MC!K166)</f>
        <v>430.26</v>
      </c>
      <c r="O164" s="183" t="str">
        <f>IF(FN_MC!L166="","*",FN_MC!L166)</f>
        <v>-</v>
      </c>
      <c r="P164" s="107">
        <f>IF(FN_MC!O166="","*",FN_MC!O166)</f>
        <v>0.375</v>
      </c>
      <c r="Q164" s="107">
        <f>IF(FN_MC!P166="","*",FN_MC!P166)</f>
        <v>8.3333333333333329E-2</v>
      </c>
      <c r="R164" s="96" t="str">
        <f>IF(FN_MC!Q166="","*",CONCATENATE(FN_MC!Q166," ",FN_MC!R166))</f>
        <v>2 Nº DE SOLDA</v>
      </c>
      <c r="S164" s="96" t="str">
        <f>IF(FN_MC!V166="","*",FN_MC!V166)</f>
        <v>Elson</v>
      </c>
      <c r="T164" s="96" t="str">
        <f>IF(FN_MC!W166="","*",FN_MC!W166)</f>
        <v xml:space="preserve">Execução de solda - Condicionado a temperatura </v>
      </c>
      <c r="U164" s="98" t="str">
        <f ca="1">_xlfn.XLOOKUP(G164&amp;$U$3,BS_CONTROLE[CHAVE],BS_CONTROLE[Quantidade_11],"-")</f>
        <v>-</v>
      </c>
      <c r="V164" s="98">
        <f ca="1">_xlfn.XLOOKUP(G164&amp;$V$3,BS_CONTROLE[CHAVE],BS_CONTROLE[Quantidade_11],"-")</f>
        <v>2</v>
      </c>
      <c r="W164" s="98">
        <f ca="1">_xlfn.XLOOKUP(G164&amp;$W$3,BS_CONTROLE[CHAVE],BS_CONTROLE[Quantidade_11],"-")</f>
        <v>3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IF(FN_MC!Y168="","*",FN_MC!Y168)</f>
        <v>OPORTUNIDADE</v>
      </c>
      <c r="B166" s="95" t="str">
        <f>IF(FN_MC!X168="","*",FN_MC!X168)</f>
        <v>Oportunidade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46069</v>
      </c>
      <c r="G166" s="96" t="str">
        <f>IF(FN_MC!D168="","*",FN_MC!D168)</f>
        <v>A60</v>
      </c>
      <c r="H166" s="96" t="str">
        <f>IF(FN_MC!F168="","*",FN_MC!F168)</f>
        <v>DETECÇÃO - RONDA 7 DIAS</v>
      </c>
      <c r="I166" s="96" t="str">
        <f>IF(FN_MC!H168="","*",FN_MC!H168)</f>
        <v>TCS</v>
      </c>
      <c r="J166" s="96" t="str">
        <f>IF(FN_MC!I168="","*",FN_MC!I168)</f>
        <v>TIN1</v>
      </c>
      <c r="K166" s="96" t="str">
        <f>IF(FN_MC!M168="","*",FN_MC!M168)</f>
        <v>TCS-TIN</v>
      </c>
      <c r="L166" s="196" t="str">
        <f>IF(FN_MC!N168="","*",FN_MC!N168)</f>
        <v>TCSTIN</v>
      </c>
      <c r="M166" s="97">
        <f>IF(FN_MC!J168="","*",FN_MC!J168)</f>
        <v>74</v>
      </c>
      <c r="N166" s="183">
        <f>IF(FN_MC!K168="","*",FN_MC!K168)</f>
        <v>291</v>
      </c>
      <c r="O166" s="183" t="str">
        <f>IF(FN_MC!L168="","*",FN_MC!L168)</f>
        <v>-</v>
      </c>
      <c r="P166" s="107">
        <f>IF(FN_MC!O168="","*",FN_MC!O168)</f>
        <v>0.35416666666666669</v>
      </c>
      <c r="Q166" s="107">
        <f>IF(FN_MC!P168="","*",FN_MC!P168)</f>
        <v>4.1666666666666664E-2</v>
      </c>
      <c r="R166" s="96" t="str">
        <f>IF(FN_MC!Q168="","*",CONCATENATE(FN_MC!Q168," ",FN_MC!R168))</f>
        <v>180 KM</v>
      </c>
      <c r="S166" s="96" t="str">
        <f>IF(FN_MC!V168="","*",FN_MC!V168)</f>
        <v>Herbert</v>
      </c>
      <c r="T166" s="96" t="str">
        <f>IF(FN_MC!W168="","*",FN_MC!W168)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IF(FN_MC!Y170="","*",FN_MC!Y170)</f>
        <v>OPORTUNIDADE</v>
      </c>
      <c r="B168" s="95" t="str">
        <f>IF(FN_MC!X170="","*",FN_MC!X170)</f>
        <v>Oportunidade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46069</v>
      </c>
      <c r="G168" s="96" t="str">
        <f>IF(FN_MC!D170="","*",FN_MC!D170)</f>
        <v>W50</v>
      </c>
      <c r="H168" s="96" t="str">
        <f>IF(FN_MC!F170="","*",FN_MC!F170)</f>
        <v>MODERNIZAÇÃO - RECOLHIMENTO DE DORMENTE</v>
      </c>
      <c r="I168" s="96" t="str">
        <f>IF(FN_MC!H170="","*",FN_MC!H170)</f>
        <v>TCS</v>
      </c>
      <c r="J168" s="96" t="str">
        <f>IF(FN_MC!I170="","*",FN_MC!I170)</f>
        <v>TCS</v>
      </c>
      <c r="K168" s="96" t="str">
        <f>IF(FN_MC!M170="","*",FN_MC!M170)</f>
        <v>TVI-TJA</v>
      </c>
      <c r="L168" s="196">
        <f>IF(FN_MC!N170="","*",FN_MC!N170)</f>
        <v>239251</v>
      </c>
      <c r="M168" s="97">
        <f>IF(FN_MC!J170="","*",FN_MC!J170)</f>
        <v>74</v>
      </c>
      <c r="N168" s="183">
        <f>IF(FN_MC!K170="","*",FN_MC!K170)</f>
        <v>244</v>
      </c>
      <c r="O168" s="183">
        <f>IF(FN_MC!L170="","*",FN_MC!L170)</f>
        <v>244.7</v>
      </c>
      <c r="P168" s="107">
        <f>IF(FN_MC!O170="","*",FN_MC!O170)</f>
        <v>0.47916666666666669</v>
      </c>
      <c r="Q168" s="107">
        <f>IF(FN_MC!P170="","*",FN_MC!P170)</f>
        <v>0.125</v>
      </c>
      <c r="R168" s="96" t="str">
        <f>IF(FN_MC!Q170="","*",CONCATENATE(FN_MC!Q170," ",FN_MC!R170))</f>
        <v>500 Nº DE DORMENTES</v>
      </c>
      <c r="S168" s="96" t="str">
        <f>IF(FN_MC!V170="","*",FN_MC!V170)</f>
        <v>Efraim</v>
      </c>
      <c r="T168" s="96" t="str">
        <f>IF(FN_MC!W170="","*",FN_MC!W170)</f>
        <v>Recolhimento de dormentes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857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Oportunidade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TCS-TGR</v>
      </c>
      <c r="F169" s="96" t="str">
        <f>IF(FN_MC!B171="","*",FN_MC!B171)</f>
        <v>*</v>
      </c>
      <c r="G169" s="96" t="str">
        <f>IF(FN_MC!D171="","*",FN_MC!D171)</f>
        <v>V48</v>
      </c>
      <c r="H169" s="96" t="str">
        <f>IF(FN_MC!F171="","*",FN_MC!F171)</f>
        <v>DESLOCAMENTO</v>
      </c>
      <c r="I169" s="96" t="str">
        <f>IF(FN_MC!H171="","*",FN_MC!H171)</f>
        <v>ZSF</v>
      </c>
      <c r="J169" s="96" t="str">
        <f>IF(FN_MC!I171="","*",FN_MC!I171)</f>
        <v>TVI1</v>
      </c>
      <c r="K169" s="96" t="str">
        <f>IF(FN_MC!M171="","*",FN_MC!M171)</f>
        <v>ZSF-TVI</v>
      </c>
      <c r="L169" s="196" t="str">
        <f>IF(FN_MC!N171="","*",FN_MC!N171)</f>
        <v>ZSFTVI</v>
      </c>
      <c r="M169" s="97">
        <f>IF(FN_MC!J171="","*",FN_MC!J171)</f>
        <v>74</v>
      </c>
      <c r="N169" s="183">
        <f>IF(FN_MC!K171="","*",FN_MC!K171)</f>
        <v>421</v>
      </c>
      <c r="O169" s="183">
        <f>IF(FN_MC!L171="","*",FN_MC!L171)</f>
        <v>226</v>
      </c>
      <c r="P169" s="107">
        <f>IF(FN_MC!O171="","*",FN_MC!O171)</f>
        <v>0.375</v>
      </c>
      <c r="Q169" s="107">
        <f>IF(FN_MC!P171="","*",FN_MC!P171)</f>
        <v>4.1666666666666664E-2</v>
      </c>
      <c r="R169" s="96" t="str">
        <f>IF(FN_MC!Q171="","*",CONCATENATE(FN_MC!Q171," ",FN_MC!R171))</f>
        <v>1 BINÁRIO</v>
      </c>
      <c r="S169" s="96" t="str">
        <f>IF(FN_MC!V171="","*",FN_MC!V171)</f>
        <v>Ezequiel</v>
      </c>
      <c r="T169" s="96" t="str">
        <f>IF(FN_MC!W171="","*",FN_MC!W171)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IF(FN_MC!Y172="","*",FN_MC!Y172)</f>
        <v>OPORTUNIDADE</v>
      </c>
      <c r="B170" s="95" t="str">
        <f>IF(FN_MC!X172="","*",FN_MC!X172)</f>
        <v>Oportunidade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46069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TMO1</v>
      </c>
      <c r="J170" s="96" t="str">
        <f>IF(FN_MC!I172="","*",FN_MC!I172)</f>
        <v>-</v>
      </c>
      <c r="K170" s="96" t="str">
        <f>IF(FN_MC!M172="","*",FN_MC!M172)</f>
        <v>TMO</v>
      </c>
      <c r="L170" s="196" t="str">
        <f>IF(FN_MC!N172="","*",FN_MC!N172)</f>
        <v>TMO1</v>
      </c>
      <c r="M170" s="97">
        <f>IF(FN_MC!J172="","*",FN_MC!J172)</f>
        <v>74</v>
      </c>
      <c r="N170" s="183">
        <f>IF(FN_MC!K172="","*",FN_MC!K172)</f>
        <v>143.35</v>
      </c>
      <c r="O170" s="18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46069</v>
      </c>
      <c r="G171" s="96" t="str">
        <f>IF(FN_MC!D173="","*",FN_MC!D173)</f>
        <v>W48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TIN1</v>
      </c>
      <c r="K171" s="96" t="str">
        <f>IF(FN_MC!M173="","*",FN_MC!M173)</f>
        <v>TAP-TIN</v>
      </c>
      <c r="L171" s="196" t="str">
        <f>IF(FN_MC!N173="","*",FN_MC!N173)</f>
        <v>TAPTIN</v>
      </c>
      <c r="M171" s="97">
        <f>IF(FN_MC!J173="","*",FN_MC!J173)</f>
        <v>74</v>
      </c>
      <c r="N171" s="183">
        <f>IF(FN_MC!K173="","*",FN_MC!K173)</f>
        <v>24.84</v>
      </c>
      <c r="O171" s="183">
        <f>IF(FN_MC!L173="","*",FN_MC!L173)</f>
        <v>109</v>
      </c>
      <c r="P171" s="107">
        <f>IF(FN_MC!O173="","*",FN_MC!O173)</f>
        <v>0.375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Douglas</v>
      </c>
      <c r="T171" s="96" t="str">
        <f>IF(FN_MC!W173="","*",FN_MC!W173)</f>
        <v>Deslocamento de TAP para TIN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2698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MALHA CENTRAL</v>
      </c>
      <c r="E172" s="96" t="str">
        <f>IF(FN_MC!T174="","*",FN_MC!T174)</f>
        <v>RAMAL</v>
      </c>
      <c r="F172" s="96">
        <f>IF(FN_MC!B174="","*",FN_MC!B174)</f>
        <v>46069</v>
      </c>
      <c r="G172" s="96" t="str">
        <f>IF(FN_MC!D174="","*",FN_MC!D174)</f>
        <v>V97</v>
      </c>
      <c r="H172" s="96" t="str">
        <f>IF(FN_MC!F174="","*",FN_MC!F174)</f>
        <v>DESLOCAMENTO</v>
      </c>
      <c r="I172" s="96" t="str">
        <f>IF(FN_MC!H174="","*",FN_MC!H174)</f>
        <v>ZIQ</v>
      </c>
      <c r="J172" s="96" t="str">
        <f>IF(FN_MC!I174="","*",FN_MC!I174)</f>
        <v>ZFH</v>
      </c>
      <c r="K172" s="96" t="str">
        <f>IF(FN_MC!M174="","*",FN_MC!M174)</f>
        <v>ZIQ-ZQY</v>
      </c>
      <c r="L172" s="196" t="str">
        <f>IF(FN_MC!N174="","*",FN_MC!N174)</f>
        <v>ZIQZQY</v>
      </c>
      <c r="M172" s="97">
        <f>IF(FN_MC!J174="","*",FN_MC!J174)</f>
        <v>78</v>
      </c>
      <c r="N172" s="183">
        <f>IF(FN_MC!K174="","*",FN_MC!K174)</f>
        <v>180</v>
      </c>
      <c r="O172" s="183">
        <f>IF(FN_MC!L174="","*",FN_MC!L174)</f>
        <v>189.45500000000001</v>
      </c>
      <c r="P172" s="107">
        <f>IF(FN_MC!O174="","*",FN_MC!O174)</f>
        <v>0.375</v>
      </c>
      <c r="Q172" s="107">
        <f>IF(FN_MC!P174="","*",FN_MC!P174)</f>
        <v>4.1666666666666664E-2</v>
      </c>
      <c r="R172" s="96" t="str">
        <f>IF(FN_MC!Q174="","*",CONCATENATE(FN_MC!Q174," ",FN_MC!R174))</f>
        <v>1 BINÁRIO</v>
      </c>
      <c r="S172" s="96" t="str">
        <f>IF(FN_MC!V174="","*",FN_MC!V174)</f>
        <v>Vieira</v>
      </c>
      <c r="T172" s="96" t="str">
        <f>IF(FN_MC!W174="","*",FN_MC!W174)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6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1619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1620</v>
      </c>
      <c r="C4" s="191" t="s">
        <v>1621</v>
      </c>
      <c r="D4" s="191" t="s">
        <v>1622</v>
      </c>
      <c r="E4" s="191" t="s">
        <v>1623</v>
      </c>
      <c r="F4" s="191" t="s">
        <v>366</v>
      </c>
      <c r="G4" s="191" t="s">
        <v>1624</v>
      </c>
    </row>
    <row r="5" spans="2:7">
      <c r="B5" s="192" t="s">
        <v>1625</v>
      </c>
      <c r="C5" s="192">
        <v>309525</v>
      </c>
      <c r="D5" s="192" t="s">
        <v>1626</v>
      </c>
      <c r="E5" s="192" t="s">
        <v>249</v>
      </c>
      <c r="F5" s="192" t="s">
        <v>1627</v>
      </c>
      <c r="G5" s="193">
        <v>46296</v>
      </c>
    </row>
    <row r="6" spans="2:7">
      <c r="B6" s="192" t="s">
        <v>1628</v>
      </c>
      <c r="C6" s="192">
        <v>257410</v>
      </c>
      <c r="D6" s="192" t="s">
        <v>1629</v>
      </c>
      <c r="E6" s="192" t="s">
        <v>249</v>
      </c>
      <c r="F6" s="192" t="s">
        <v>1627</v>
      </c>
      <c r="G6" s="193"/>
    </row>
    <row r="7" spans="2:7">
      <c r="B7" s="192" t="s">
        <v>1481</v>
      </c>
      <c r="C7" s="192">
        <v>256875</v>
      </c>
      <c r="D7" s="192" t="s">
        <v>1630</v>
      </c>
      <c r="E7" s="192" t="s">
        <v>249</v>
      </c>
      <c r="F7" s="192" t="s">
        <v>1627</v>
      </c>
      <c r="G7" s="193">
        <v>46296</v>
      </c>
    </row>
    <row r="8" spans="2:7">
      <c r="B8" s="192" t="s">
        <v>1631</v>
      </c>
      <c r="C8" s="192">
        <v>257278</v>
      </c>
      <c r="D8" s="192" t="s">
        <v>1632</v>
      </c>
      <c r="E8" s="192" t="s">
        <v>240</v>
      </c>
      <c r="F8" s="192" t="s">
        <v>1633</v>
      </c>
      <c r="G8" s="193">
        <v>46235</v>
      </c>
    </row>
    <row r="9" spans="2:7">
      <c r="B9" s="192" t="s">
        <v>1634</v>
      </c>
      <c r="C9" s="192">
        <v>261794</v>
      </c>
      <c r="D9" s="192" t="s">
        <v>1635</v>
      </c>
      <c r="E9" s="192" t="s">
        <v>240</v>
      </c>
      <c r="F9" s="192" t="s">
        <v>1633</v>
      </c>
      <c r="G9" s="193">
        <v>46082</v>
      </c>
    </row>
    <row r="10" spans="2:7">
      <c r="B10" s="192" t="s">
        <v>1636</v>
      </c>
      <c r="C10" s="192">
        <v>257033</v>
      </c>
      <c r="D10" s="192" t="s">
        <v>1637</v>
      </c>
      <c r="E10" s="192" t="s">
        <v>240</v>
      </c>
      <c r="F10" s="192" t="s">
        <v>480</v>
      </c>
      <c r="G10" s="192" t="s">
        <v>1638</v>
      </c>
    </row>
    <row r="11" spans="2:7">
      <c r="B11" s="192" t="s">
        <v>1639</v>
      </c>
      <c r="C11" s="192">
        <v>396578</v>
      </c>
      <c r="D11" s="192" t="s">
        <v>1640</v>
      </c>
      <c r="E11" s="192" t="s">
        <v>240</v>
      </c>
      <c r="F11" s="192" t="s">
        <v>480</v>
      </c>
      <c r="G11" s="192" t="s">
        <v>1638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1641</v>
      </c>
      <c r="D5" s="274"/>
      <c r="E5" s="274"/>
      <c r="F5" s="274"/>
      <c r="G5" s="274"/>
      <c r="H5" s="274"/>
      <c r="I5" s="274"/>
      <c r="J5" s="275"/>
      <c r="K5" s="276" t="s">
        <v>1642</v>
      </c>
      <c r="L5" s="277"/>
      <c r="M5" s="277"/>
      <c r="N5" s="277"/>
      <c r="O5" s="278" t="s">
        <v>1643</v>
      </c>
      <c r="P5" s="279"/>
      <c r="Q5" s="280"/>
    </row>
    <row r="6" spans="1:17" s="81" customFormat="1" ht="15.75" customHeight="1">
      <c r="A6" s="75" t="s">
        <v>1617</v>
      </c>
      <c r="B6" s="82" t="s">
        <v>1616</v>
      </c>
      <c r="C6" s="83" t="s">
        <v>1211</v>
      </c>
      <c r="D6" s="84" t="s">
        <v>1212</v>
      </c>
      <c r="E6" s="83" t="s">
        <v>1644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1645</v>
      </c>
      <c r="M6" s="116" t="s">
        <v>29</v>
      </c>
      <c r="N6" s="117" t="s">
        <v>1206</v>
      </c>
      <c r="O6" s="165" t="s">
        <v>1249</v>
      </c>
      <c r="P6" s="128"/>
      <c r="Q6" s="139" t="s">
        <v>1646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 hidden="1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 hidden="1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2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 hidden="1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 hidden="1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 hidden="1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 hidden="1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 hidden="1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 hidden="1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 hidden="1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2</v>
      </c>
      <c r="P170" s="78"/>
      <c r="Q170" s="120" t="str">
        <f>IF($A$2=1,IF(FN_MC!BJ150="","*",FN_MC!BJ150),IF(FN_MC!BK150="","*",FN_MC!BK150))</f>
        <v>MC1 as 09:22h - após I32 - Licença as 10:22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2</v>
      </c>
      <c r="P171" s="78"/>
      <c r="Q171" s="120" t="str">
        <f>IF($A$2=1,IF(FN_MC!BJ152="","*",FN_MC!BJ152),IF(FN_MC!BK152="","*",FN_MC!BK152))</f>
        <v>Intervalo das 07:45 as 09:15</v>
      </c>
    </row>
    <row r="172" spans="1:17" hidden="1">
      <c r="A172" s="85">
        <f>IF(FN_MC!B156="","*",FN_MC!B156)</f>
        <v>46067</v>
      </c>
      <c r="B172" s="86" t="str">
        <f>IF(FN_MC!X156="","*",FN_MC!X156)</f>
        <v>Oportunidade</v>
      </c>
      <c r="C172" s="87" t="str">
        <f>IF(FN_MC!S156="","*",FN_MC!S156)</f>
        <v>FERRONORTE</v>
      </c>
      <c r="D172" s="87" t="str">
        <f>IF(FN_MC!T156="","*",FN_MC!T156)</f>
        <v>TCS-TGR</v>
      </c>
      <c r="E172" s="87" t="str">
        <f>IF(FN_MC!D156="","*",FN_MC!D156)</f>
        <v>ELSON (TF-526)</v>
      </c>
      <c r="F172" s="87" t="str">
        <f>IF(FN_MC!H156="","*",FN_MC!H156)</f>
        <v>TIP1</v>
      </c>
      <c r="G172" s="87" t="str">
        <f>IF(FN_MC!M156="","*",FN_MC!M156)</f>
        <v>TIP</v>
      </c>
      <c r="H172" s="125">
        <f>IF(FN_MC!K156="","*",FN_MC!K156)</f>
        <v>396.94</v>
      </c>
      <c r="I172" s="110">
        <f>IF(FN_MC!O156="","*",FN_MC!O156)</f>
        <v>0.375</v>
      </c>
      <c r="J172" s="110">
        <f>IF(FN_MC!P156="","*",FN_MC!P156)</f>
        <v>6.25E-2</v>
      </c>
      <c r="K172" s="118" t="str">
        <f>IF(FN_MC!AK156="","*",FN_MC!AK156)</f>
        <v>TIP1</v>
      </c>
      <c r="L172" s="118" t="str">
        <f>IF(FN_MC!AM156="","*",FN_MC!AM156)</f>
        <v>TIP</v>
      </c>
      <c r="M172" s="118">
        <f>IF(FN_MC!AP156="","*",FN_MC!AP156)</f>
        <v>396.94</v>
      </c>
      <c r="N172" s="118" t="str">
        <f>IF(FN_MC!AM156="","*",FN_MC!AM156)</f>
        <v>TIP</v>
      </c>
      <c r="O172" s="136">
        <f>FN_MC!BH156</f>
        <v>2</v>
      </c>
      <c r="P172" s="78"/>
      <c r="Q172" s="120" t="str">
        <f>IF($A$2=1,IF(FN_MC!BJ156="","*",FN_MC!BJ156),IF(FN_MC!BK156="","*",FN_MC!BK156))</f>
        <v>Intervalo das 09:18h as 11:18h</v>
      </c>
    </row>
    <row r="173" spans="1:17" hidden="1">
      <c r="A173" s="85" t="str">
        <f>IF(FN_MC!B154="","*",FN_MC!B154)</f>
        <v>*</v>
      </c>
      <c r="B173" s="86" t="str">
        <f>IF(FN_MC!X154="","*",FN_MC!X154)</f>
        <v>*</v>
      </c>
      <c r="C173" s="87" t="str">
        <f>IF(FN_MC!S154="","*",FN_MC!S154)</f>
        <v>-</v>
      </c>
      <c r="D173" s="87" t="str">
        <f>IF(FN_MC!T154="","*",FN_MC!T154)</f>
        <v>-</v>
      </c>
      <c r="E173" s="87" t="str">
        <f>IF(FN_MC!D154="","*",FN_MC!D154)</f>
        <v>*</v>
      </c>
      <c r="F173" s="87" t="str">
        <f>IF(FN_MC!H154="","*",FN_MC!H154)</f>
        <v>*</v>
      </c>
      <c r="G173" s="87" t="str">
        <f>IF(FN_MC!M154="","*",FN_MC!M154)</f>
        <v>-</v>
      </c>
      <c r="H173" s="125" t="str">
        <f>IF(FN_MC!K154="","*",FN_MC!K154)</f>
        <v>*</v>
      </c>
      <c r="I173" s="110" t="str">
        <f>IF(FN_MC!O154="","*",FN_MC!O154)</f>
        <v>*</v>
      </c>
      <c r="J173" s="110" t="str">
        <f>IF(FN_MC!P154="","*",FN_MC!P154)</f>
        <v>*</v>
      </c>
      <c r="K173" s="118" t="str">
        <f>IF(FN_MC!AK154="","*",FN_MC!AK154)</f>
        <v>-</v>
      </c>
      <c r="L173" s="118" t="str">
        <f>IF(FN_MC!AM154="","*",FN_MC!AM154)</f>
        <v>-</v>
      </c>
      <c r="M173" s="118" t="str">
        <f>IF(FN_MC!AP154="","*",FN_MC!AP154)</f>
        <v>-</v>
      </c>
      <c r="N173" s="118" t="str">
        <f>IF(FN_MC!AM154="","*",FN_MC!AM154)</f>
        <v>-</v>
      </c>
      <c r="O173" s="136">
        <f>FN_MC!BH154</f>
        <v>0</v>
      </c>
      <c r="P173" s="78"/>
      <c r="Q173" s="120" t="str">
        <f>IF($A$2=1,IF(FN_MC!BJ154="","*",FN_MC!BJ154),IF(FN_MC!BK154="","*",FN_MC!BK154))</f>
        <v>*</v>
      </c>
    </row>
    <row r="174" spans="1:17" hidden="1">
      <c r="A174" s="85" t="str">
        <f>IF(FN_MC!B155="","*",FN_MC!B155)</f>
        <v>*</v>
      </c>
      <c r="B174" s="86" t="str">
        <f>IF(FN_MC!X155="","*",FN_MC!X155)</f>
        <v>*</v>
      </c>
      <c r="C174" s="87" t="str">
        <f>IF(FN_MC!S155="","*",FN_MC!S155)</f>
        <v>-</v>
      </c>
      <c r="D174" s="87" t="str">
        <f>IF(FN_MC!T155="","*",FN_MC!T155)</f>
        <v>-</v>
      </c>
      <c r="E174" s="87" t="str">
        <f>IF(FN_MC!D155="","*",FN_MC!D155)</f>
        <v>*</v>
      </c>
      <c r="F174" s="87" t="str">
        <f>IF(FN_MC!H155="","*",FN_MC!H155)</f>
        <v>*</v>
      </c>
      <c r="G174" s="87" t="str">
        <f>IF(FN_MC!M155="","*",FN_MC!M155)</f>
        <v>-</v>
      </c>
      <c r="H174" s="125" t="str">
        <f>IF(FN_MC!K155="","*",FN_MC!K155)</f>
        <v>*</v>
      </c>
      <c r="I174" s="110" t="str">
        <f>IF(FN_MC!O155="","*",FN_MC!O155)</f>
        <v>*</v>
      </c>
      <c r="J174" s="110" t="str">
        <f>IF(FN_MC!P155="","*",FN_MC!P155)</f>
        <v>*</v>
      </c>
      <c r="K174" s="118" t="str">
        <f>IF(FN_MC!AK155="","*",FN_MC!AK155)</f>
        <v>-</v>
      </c>
      <c r="L174" s="118" t="str">
        <f>IF(FN_MC!AM155="","*",FN_MC!AM155)</f>
        <v>-</v>
      </c>
      <c r="M174" s="118" t="str">
        <f>IF(FN_MC!AP155="","*",FN_MC!AP155)</f>
        <v>-</v>
      </c>
      <c r="N174" s="118" t="str">
        <f>IF(FN_MC!AM155="","*",FN_MC!AM155)</f>
        <v>-</v>
      </c>
      <c r="O174" s="136">
        <f>FN_MC!BH155</f>
        <v>0</v>
      </c>
      <c r="P174" s="78"/>
      <c r="Q174" s="120" t="str">
        <f>IF($A$2=1,IF(FN_MC!BJ155="","*",FN_MC!BJ155),IF(FN_MC!BK155="","*",FN_MC!BK155))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2</v>
      </c>
      <c r="P175" s="78"/>
      <c r="Q175" s="120" t="str">
        <f>IF($A$2=1,IF(FN_MC!BJ157="","*",FN_MC!BJ157),IF(FN_MC!BK157="","*",FN_MC!BK157))</f>
        <v>Intervalo das 11:26h as 13:06h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TIQ</v>
      </c>
      <c r="G177" s="87" t="str">
        <f>IF(FN_MC!M159="","*",FN_MC!M159)</f>
        <v>TAL-TSF</v>
      </c>
      <c r="H177" s="125">
        <f>IF(FN_MC!K159="","*",FN_MC!K159)</f>
        <v>659.976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TIQ</v>
      </c>
      <c r="L177" s="118" t="str">
        <f>IF(FN_MC!AM159="","*",FN_MC!AM159)</f>
        <v>TAL-TSF</v>
      </c>
      <c r="M177" s="118">
        <f>IF(FN_MC!AP159="","*",FN_MC!AP159)</f>
        <v>659.976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MC1 as 12:24h -sem oportunidade e risco de jornada irregular da equipe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>
        <f>IF(FN_MC!B161="","*",FN_MC!B161)</f>
        <v>46069</v>
      </c>
      <c r="B179" s="86" t="str">
        <f>IF(FN_MC!X161="","*",FN_MC!X161)</f>
        <v>Oportunidade</v>
      </c>
      <c r="C179" s="87" t="str">
        <f>IF(FN_MC!S161="","*",FN_MC!S161)</f>
        <v>FERRONORTE</v>
      </c>
      <c r="D179" s="87" t="str">
        <f>IF(FN_MC!T161="","*",FN_MC!T161)</f>
        <v>TGR-TRO</v>
      </c>
      <c r="E179" s="87" t="str">
        <f>IF(FN_MC!D161="","*",FN_MC!D161)</f>
        <v>BRUNO (TF-525)</v>
      </c>
      <c r="F179" s="87" t="str">
        <f>IF(FN_MC!H161="","*",FN_MC!H161)</f>
        <v>TBS671</v>
      </c>
      <c r="G179" s="87" t="str">
        <f>IF(FN_MC!M161="","*",FN_MC!M161)</f>
        <v>TBS-TAL</v>
      </c>
      <c r="H179" s="125">
        <f>IF(FN_MC!K161="","*",FN_MC!K161)</f>
        <v>662.4</v>
      </c>
      <c r="I179" s="110">
        <f>IF(FN_MC!O161="","*",FN_MC!O161)</f>
        <v>0.375</v>
      </c>
      <c r="J179" s="110">
        <f>IF(FN_MC!P161="","*",FN_MC!P161)</f>
        <v>6.25E-2</v>
      </c>
      <c r="K179" s="118" t="str">
        <f>IF(FN_MC!AK161="","*",FN_MC!AK161)</f>
        <v>TBS671</v>
      </c>
      <c r="L179" s="118" t="str">
        <f>IF(FN_MC!AM161="","*",FN_MC!AM161)</f>
        <v>TBS-TAL</v>
      </c>
      <c r="M179" s="118">
        <f>IF(FN_MC!AP161="","*",FN_MC!AP161)</f>
        <v>662.4</v>
      </c>
      <c r="N179" s="118" t="str">
        <f>IF(FN_MC!AM161="","*",FN_MC!AM161)</f>
        <v>TBS-TAL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 hidden="1">
      <c r="A180" s="85">
        <f>IF(FN_MC!B162="","*",FN_MC!B162)</f>
        <v>46069</v>
      </c>
      <c r="B180" s="86" t="str">
        <f>IF(FN_MC!X162="","*",FN_MC!X162)</f>
        <v>Oportunidade</v>
      </c>
      <c r="C180" s="87" t="str">
        <f>IF(FN_MC!S162="","*",FN_MC!S162)</f>
        <v>FERRONORTE</v>
      </c>
      <c r="D180" s="87" t="str">
        <f>IF(FN_MC!T162="","*",FN_MC!T162)</f>
        <v>TGR-TRO</v>
      </c>
      <c r="E180" s="87" t="str">
        <f>IF(FN_MC!D162="","*",FN_MC!D162)</f>
        <v>V86</v>
      </c>
      <c r="F180" s="87" t="str">
        <f>IF(FN_MC!H162="","*",FN_MC!H162)</f>
        <v>TIQ</v>
      </c>
      <c r="G180" s="87" t="str">
        <f>IF(FN_MC!M162="","*",FN_MC!M162)</f>
        <v>TBS</v>
      </c>
      <c r="H180" s="125">
        <f>IF(FN_MC!K162="","*",FN_MC!K162)</f>
        <v>659.976</v>
      </c>
      <c r="I180" s="110">
        <f>IF(FN_MC!O162="","*",FN_MC!O162)</f>
        <v>0.4375</v>
      </c>
      <c r="J180" s="110">
        <f>IF(FN_MC!P162="","*",FN_MC!P162)</f>
        <v>0.125</v>
      </c>
      <c r="K180" s="118" t="str">
        <f>IF(FN_MC!AK162="","*",FN_MC!AK162)</f>
        <v>TIQ</v>
      </c>
      <c r="L180" s="118" t="str">
        <f>IF(FN_MC!AM162="","*",FN_MC!AM162)</f>
        <v>TBS</v>
      </c>
      <c r="M180" s="118">
        <f>IF(FN_MC!AP162="","*",FN_MC!AP162)</f>
        <v>659.976</v>
      </c>
      <c r="N180" s="118" t="str">
        <f>IF(FN_MC!AM162="","*",FN_MC!AM162)</f>
        <v>TBS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 t="str">
        <f>IF(FN_MC!B171="","*",FN_MC!B171)</f>
        <v>*</v>
      </c>
      <c r="B189" s="86" t="str">
        <f>IF(FN_MC!X171="","*",FN_MC!X171)</f>
        <v>Oportunidade</v>
      </c>
      <c r="C189" s="87" t="str">
        <f>IF(FN_MC!S171="","*",FN_MC!S171)</f>
        <v>FERRONORTE</v>
      </c>
      <c r="D189" s="87" t="str">
        <f>IF(FN_MC!T171="","*",FN_MC!T171)</f>
        <v>TCS-TGR</v>
      </c>
      <c r="E189" s="87" t="str">
        <f>IF(FN_MC!D171="","*",FN_MC!D171)</f>
        <v>V48</v>
      </c>
      <c r="F189" s="87" t="str">
        <f>IF(FN_MC!H171="","*",FN_MC!H171)</f>
        <v>ZSF</v>
      </c>
      <c r="G189" s="87" t="str">
        <f>IF(FN_MC!M171="","*",FN_MC!M171)</f>
        <v>ZSF-TVI</v>
      </c>
      <c r="H189" s="125">
        <f>IF(FN_MC!K171="","*",FN_MC!K171)</f>
        <v>421</v>
      </c>
      <c r="I189" s="110">
        <f>IF(FN_MC!O171="","*",FN_MC!O171)</f>
        <v>0.375</v>
      </c>
      <c r="J189" s="110">
        <f>IF(FN_MC!P171="","*",FN_MC!P171)</f>
        <v>4.1666666666666664E-2</v>
      </c>
      <c r="K189" s="118" t="str">
        <f>IF(FN_MC!AK171="","*",FN_MC!AK171)</f>
        <v>ZSF</v>
      </c>
      <c r="L189" s="118" t="str">
        <f>IF(FN_MC!AM171="","*",FN_MC!AM171)</f>
        <v>ZSF-TVI</v>
      </c>
      <c r="M189" s="118">
        <f>IF(FN_MC!AP171="","*",FN_MC!AP171)</f>
        <v>421</v>
      </c>
      <c r="N189" s="118" t="str">
        <f>IF(FN_MC!AM171="","*",FN_MC!AM171)</f>
        <v>ZSF-TVI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Oportunidade</v>
      </c>
      <c r="C190" s="87" t="str">
        <f>IF(FN_MC!S172="","*",FN_MC!S172)</f>
        <v>FERRONORTE</v>
      </c>
      <c r="D190" s="87" t="str">
        <f>IF(FN_MC!T172="","*",FN_MC!T172)</f>
        <v>TMI-TCS</v>
      </c>
      <c r="E190" s="87" t="str">
        <f>IF(FN_MC!D172="","*",FN_MC!D172)</f>
        <v>MARCOS (TF-520)</v>
      </c>
      <c r="F190" s="87" t="str">
        <f>IF(FN_MC!H172="","*",FN_MC!H172)</f>
        <v>TMO1</v>
      </c>
      <c r="G190" s="87" t="str">
        <f>IF(FN_MC!M172="","*",FN_MC!M172)</f>
        <v>TMO</v>
      </c>
      <c r="H190" s="125">
        <f>IF(FN_MC!K172="","*",FN_MC!K172)</f>
        <v>143.35</v>
      </c>
      <c r="I190" s="110">
        <f>IF(FN_MC!O172="","*",FN_MC!O172)</f>
        <v>0.375</v>
      </c>
      <c r="J190" s="110">
        <f>IF(FN_MC!P172="","*",FN_MC!P172)</f>
        <v>8.3333333333333329E-2</v>
      </c>
      <c r="K190" s="118" t="str">
        <f>IF(FN_MC!AK172="","*",FN_MC!AK172)</f>
        <v>TMO1</v>
      </c>
      <c r="L190" s="118" t="str">
        <f>IF(FN_MC!AM172="","*",FN_MC!AM172)</f>
        <v>TMO</v>
      </c>
      <c r="M190" s="118">
        <f>IF(FN_MC!AP172="","*",FN_MC!AP172)</f>
        <v>143.35</v>
      </c>
      <c r="N190" s="118" t="str">
        <f>IF(FN_MC!AM172="","*",FN_MC!AM172)</f>
        <v>TMO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 hidden="1">
      <c r="A191" s="85">
        <f>IF(FN_MC!B173="","*",FN_MC!B173)</f>
        <v>46069</v>
      </c>
      <c r="B191" s="86" t="str">
        <f>IF(FN_MC!X173="","*",FN_MC!X173)</f>
        <v>Oportunidade</v>
      </c>
      <c r="C191" s="87" t="str">
        <f>IF(FN_MC!S173="","*",FN_MC!S173)</f>
        <v>FERRONORTE</v>
      </c>
      <c r="D191" s="87" t="str">
        <f>IF(FN_MC!T173="","*",FN_MC!T173)</f>
        <v>TMI-TCS</v>
      </c>
      <c r="E191" s="87" t="str">
        <f>IF(FN_MC!D173="","*",FN_MC!D173)</f>
        <v>W48</v>
      </c>
      <c r="F191" s="87" t="str">
        <f>IF(FN_MC!H173="","*",FN_MC!H173)</f>
        <v>TAP</v>
      </c>
      <c r="G191" s="87" t="str">
        <f>IF(FN_MC!M173="","*",FN_MC!M173)</f>
        <v>TAP-TIN</v>
      </c>
      <c r="H191" s="125">
        <f>IF(FN_MC!K173="","*",FN_MC!K173)</f>
        <v>24.84</v>
      </c>
      <c r="I191" s="110">
        <f>IF(FN_MC!O173="","*",FN_MC!O173)</f>
        <v>0.375</v>
      </c>
      <c r="J191" s="110">
        <f>IF(FN_MC!P173="","*",FN_MC!P173)</f>
        <v>4.1666666666666664E-2</v>
      </c>
      <c r="K191" s="118" t="str">
        <f>IF(FN_MC!AK173="","*",FN_MC!AK173)</f>
        <v>TAP</v>
      </c>
      <c r="L191" s="118" t="str">
        <f>IF(FN_MC!AM173="","*",FN_MC!AM173)</f>
        <v>TAP-TIN</v>
      </c>
      <c r="M191" s="118">
        <f>IF(FN_MC!AP173="","*",FN_MC!AP173)</f>
        <v>24.84</v>
      </c>
      <c r="N191" s="118" t="str">
        <f>IF(FN_MC!AM173="","*",FN_MC!AM173)</f>
        <v>TAP-TIN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 hidden="1">
      <c r="A192" s="85">
        <f>IF(FN_MC!B174="","*",FN_MC!B174)</f>
        <v>46069</v>
      </c>
      <c r="B192" s="86" t="str">
        <f>IF(FN_MC!X174="","*",FN_MC!X174)</f>
        <v>Oportunidade</v>
      </c>
      <c r="C192" s="87" t="str">
        <f>IF(FN_MC!S174="","*",FN_MC!S174)</f>
        <v>MALHA CENTRAL</v>
      </c>
      <c r="D192" s="87" t="str">
        <f>IF(FN_MC!T174="","*",FN_MC!T174)</f>
        <v>RAMAL</v>
      </c>
      <c r="E192" s="87" t="str">
        <f>IF(FN_MC!D174="","*",FN_MC!D174)</f>
        <v>V97</v>
      </c>
      <c r="F192" s="87" t="str">
        <f>IF(FN_MC!H174="","*",FN_MC!H174)</f>
        <v>ZIQ</v>
      </c>
      <c r="G192" s="87" t="str">
        <f>IF(FN_MC!M174="","*",FN_MC!M174)</f>
        <v>ZIQ-ZQY</v>
      </c>
      <c r="H192" s="125">
        <f>IF(FN_MC!K174="","*",FN_MC!K174)</f>
        <v>180</v>
      </c>
      <c r="I192" s="110">
        <f>IF(FN_MC!O174="","*",FN_MC!O174)</f>
        <v>0.375</v>
      </c>
      <c r="J192" s="110">
        <f>IF(FN_MC!P174="","*",FN_MC!P174)</f>
        <v>4.1666666666666664E-2</v>
      </c>
      <c r="K192" s="118" t="str">
        <f>IF(FN_MC!AK174="","*",FN_MC!AK174)</f>
        <v>ZIQ</v>
      </c>
      <c r="L192" s="118" t="str">
        <f>IF(FN_MC!AM174="","*",FN_MC!AM174)</f>
        <v>ZIQ-ZQY</v>
      </c>
      <c r="M192" s="118">
        <f>IF(FN_MC!AP174="","*",FN_MC!AP174)</f>
        <v>180</v>
      </c>
      <c r="N192" s="118" t="str">
        <f>IF(FN_MC!AM174="","*",FN_MC!AM174)</f>
        <v>ZIQ-ZQY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2026-02-16T11:56:33Z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