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901" documentId="8_{B6337239-1A00-434D-AAD0-422EA1FEB5AE}" xr6:coauthVersionLast="47" xr6:coauthVersionMax="47" xr10:uidLastSave="{12FA3944-4C4A-4C2A-AAB6-BB6B73C813A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J58" i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K270" i="16"/>
  <c r="L270" i="16"/>
  <c r="R265" i="1"/>
  <c r="R270" i="16" s="1"/>
  <c r="S265" i="1" a="1"/>
  <c r="S265" i="1" s="1"/>
  <c r="D270" i="16" s="1"/>
  <c r="T265" i="1" a="1"/>
  <c r="T265" i="1" s="1"/>
  <c r="E270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K271" i="16"/>
  <c r="L271" i="16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R284" i="16" s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B57" i="1" l="1"/>
  <c r="BD56" i="1" a="1"/>
  <c r="BD56" i="1" s="1"/>
  <c r="AJ265" i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<sst xmlns="http://schemas.openxmlformats.org/spreadsheetml/2006/main" count="7200" uniqueCount="1837">
  <si>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</si>
  <si>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</si>
  <si>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</si>
  <si>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</si>
  <si>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</si>
  <si>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</si>
  <si>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</si>
  <si>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</si>
  <si>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</si>
  <si>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</si>
  <si>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</si>
  <si>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</si>
  <si>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</si>
  <si>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</si>
  <si>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</si>
  <si>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</si>
  <si>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</si>
  <si>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</si>
  <si>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</si>
  <si>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</si>
  <si>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</si>
  <si>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</si>
  <si>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</si>
  <si>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</si>
  <si>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</si>
  <si>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</si>
  <si>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</si>
  <si>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</si>
  <si>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</si>
  <si>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</si>
  <si>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</si>
  <si>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</si>
  <si>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</si>
  <si>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</si>
  <si>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</si>
  <si>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</si>
  <si>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</si>
  <si>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</si>
  <si>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</si>
  <si>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</si>
  <si>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</si>
  <si>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</si>
  <si>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</si>
  <si>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</si>
  <si>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</si>
  <si>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</si>
  <si>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</si>
  <si>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</si>
  <si>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</si>
  <si>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</si>
  <si>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</si>
  <si>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</si>
  <si>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</si>
  <si>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</si>
  <si>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</si>
  <si>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</si>
  <si>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</si>
  <si>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</si>
  <si>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</si>
  <si>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</si>
  <si>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</si>
  <si>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</si>
  <si>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</si>
  <si>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</si>
  <si>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</si>
  <si>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</si>
  <si>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</si>
  <si>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</si>
  <si>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</si>
  <si>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</si>
  <si>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</si>
  <si>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</si>
  <si>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</si>
  <si>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</si>
  <si>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</si>
  <si>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</si>
  <si>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</si>
  <si>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</si>
  <si>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</si>
  <si>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</si>
  <si>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</si>
  <si>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</si>
  <si>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</si>
  <si>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</si>
  <si>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</si>
  <si>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</si>
  <si>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</si>
  <si>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</si>
  <si>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</si>
  <si>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</si>
  <si>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</si>
  <si>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</si>
  <si>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</si>
  <si>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</si>
  <si>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</si>
  <si>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</si>
  <si>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</si>
  <si>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</si>
  <si>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</si>
  <si>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</si>
  <si>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</si>
  <si>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</si>
  <si>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</si>
  <si>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</si>
  <si>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</si>
  <si>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</si>
  <si>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</si>
  <si>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</si>
  <si>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</si>
  <si>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</si>
  <si>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</si>
  <si>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</si>
  <si>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</si>
  <si>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</si>
  <si>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</si>
  <si>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</si>
  <si>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</si>
  <si>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</si>
  <si>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</si>
  <si>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</si>
  <si>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</si>
  <si>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</si>
  <si>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</si>
  <si>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</si>
  <si>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</si>
  <si>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</si>
  <si>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</si>
  <si>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</si>
  <si>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</si>
  <si>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</si>
  <si>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</si>
  <si>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</si>
  <si>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</si>
  <si>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</si>
  <si>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</si>
  <si>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</si>
  <si>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</si>
  <si>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</si>
  <si>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</si>
  <si>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</si>
  <si>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</si>
  <si>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</si>
  <si>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</si>
  <si>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</si>
  <si>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</si>
  <si>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</si>
  <si>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</si>
  <si>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</si>
  <si>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</si>
  <si>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</si>
  <si>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</si>
  <si>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</si>
  <si>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</si>
  <si>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</si>
  <si>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</si>
  <si>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</si>
  <si>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</si>
  <si>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</si>
  <si>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</si>
  <si>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</si>
  <si>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</si>
  <si>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</si>
  <si>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</si>
  <si>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</si>
  <si>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</si>
  <si>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</si>
  <si>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</si>
  <si>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</si>
  <si>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</si>
  <si>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</si>
  <si>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</si>
  <si>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</si>
  <si>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</si>
  <si>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</si>
  <si>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</si>
  <si>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</si>
  <si>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</si>
  <si>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</si>
  <si>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</si>
  <si>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</si>
  <si>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</si>
  <si>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</si>
  <si>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</si>
  <si>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</si>
  <si>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</si>
  <si>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</si>
  <si>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</si>
  <si>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</si>
  <si>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</si>
  <si>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</si>
  <si>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</si>
  <si>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</si>
  <si>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</si>
  <si>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</si>
  <si>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</si>
  <si>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</si>
  <si>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</si>
  <si>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</si>
  <si>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</si>
  <si>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</si>
  <si>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</si>
  <si>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</si>
  <si>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</si>
  <si>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</si>
  <si>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</si>
  <si>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</si>
  <si>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</si>
  <si>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</si>
  <si>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</si>
  <si>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</si>
  <si>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</si>
  <si>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</si>
  <si>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</si>
  <si>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</si>
  <si>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</si>
  <si>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</si>
  <si>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</si>
  <si>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</si>
  <si>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</si>
  <si>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</si>
  <si>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</si>
  <si>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</si>
  <si>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</si>
  <si>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</si>
  <si>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</si>
  <si>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</si>
  <si>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</si>
  <si>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</si>
  <si>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</si>
  <si>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</si>
  <si>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</si>
  <si>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</si>
  <si>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</si>
  <si>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</si>
  <si>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</si>
  <si>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</si>
  <si>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</si>
  <si>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</si>
  <si>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</si>
  <si>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</si>
  <si>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</si>
  <si>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</si>
  <si>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</si>
  <si>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</si>
  <si>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</si>
  <si>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</si>
  <si>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</si>
  <si>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</si>
  <si>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</si>
  <si>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</si>
  <si>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</si>
  <si>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</si>
  <si>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</si>
  <si>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</si>
  <si>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</si>
  <si>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</si>
  <si>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</si>
  <si>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</si>
  <si>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</si>
  <si>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</si>
  <si>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</si>
  <si>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</si>
  <si>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</si>
  <si>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</si>
  <si>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</si>
  <si>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</si>
  <si>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</si>
  <si>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</si>
  <si>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</si>
  <si>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</si>
  <si>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</si>
  <si>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</si>
  <si>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</si>
  <si>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</si>
  <si>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</si>
  <si>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</si>
  <si>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</si>
  <si>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</si>
  <si>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</si>
  <si>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</si>
  <si>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</si>
  <si>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</si>
  <si>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</si>
  <si>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</si>
  <si>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</si>
  <si>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</si>
  <si>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</si>
  <si>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</si>
  <si>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</si>
  <si>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</si>
  <si>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</si>
  <si>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</si>
  <si>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</si>
  <si>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</si>
  <si>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</si>
  <si>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</si>
  <si>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</si>
  <si>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</si>
  <si>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</si>
  <si>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</si>
  <si>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</si>
  <si>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</si>
  <si>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</si>
  <si>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</si>
  <si>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</si>
  <si>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</si>
  <si>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</si>
  <si>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</si>
  <si>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</si>
  <si>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</si>
  <si>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</si>
  <si>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</si>
  <si>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</si>
  <si>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</si>
  <si>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</si>
  <si>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</si>
  <si>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</si>
  <si>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</si>
  <si>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</si>
  <si>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</si>
  <si>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</si>
  <si>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</si>
  <si>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</si>
  <si>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</si>
  <si>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</si>
  <si>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</si>
  <si>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</si>
  <si>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</si>
  <si>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</si>
  <si>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</si>
  <si>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</si>
  <si>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</si>
  <si>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</si>
  <si>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</si>
  <si>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</si>
  <si>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</si>
  <si>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</si>
  <si>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</si>
  <si>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</si>
  <si>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</si>
  <si>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</si>
  <si>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</si>
  <si>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</si>
  <si>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</si>
  <si>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</si>
  <si>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</si>
  <si>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</si>
  <si>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</si>
  <si>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</si>
  <si>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</si>
  <si>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</si>
  <si>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</si>
  <si>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</si>
  <si>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</si>
  <si>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</si>
  <si>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</si>
  <si>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</si>
  <si>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</si>
  <si>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</si>
  <si>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</si>
  <si>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</si>
  <si>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</si>
  <si>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</si>
  <si>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</si>
  <si>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</si>
  <si>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</si>
  <si>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</si>
  <si>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</si>
  <si>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</si>
  <si>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</si>
  <si>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</si>
  <si>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</si>
  <si>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</si>
  <si>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</si>
  <si>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</si>
  <si>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</si>
  <si>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</si>
  <si>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</si>
  <si>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</si>
  <si>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</si>
  <si>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</si>
  <si>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</si>
  <si>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</si>
  <si>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</si>
  <si>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</si>
  <si>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</si>
  <si>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</si>
  <si>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</si>
  <si>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</si>
  <si>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</si>
  <si>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</si>
  <si>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</si>
  <si>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</si>
  <si>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</si>
  <si>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</si>
  <si>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</si>
  <si>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</si>
  <si>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</si>
  <si>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</si>
  <si>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</si>
  <si>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</si>
  <si>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</si>
  <si>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</si>
  <si>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</si>
  <si>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</si>
  <si>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</si>
  <si>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</si>
  <si>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</si>
  <si>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</si>
  <si>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</si>
  <si>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</si>
  <si>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</si>
  <si>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</si>
  <si>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</si>
  <si>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</si>
  <si>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</si>
  <si>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</si>
  <si>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</si>
  <si>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</si>
  <si>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</si>
  <si>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</si>
  <si>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</si>
  <si>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</si>
  <si>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</si>
  <si>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</si>
  <si>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</si>
  <si>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</si>
  <si>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</si>
  <si>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</si>
  <si>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</si>
  <si>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</si>
  <si>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</si>
  <si>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</si>
  <si>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</si>
  <si>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</si>
  <si>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</si>
  <si>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</si>
  <si>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</si>
  <si>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</si>
  <si>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</si>
  <si>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</si>
  <si>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</si>
  <si>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</si>
  <si>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</si>
  <si>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</si>
  <si>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</si>
  <si>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</si>
  <si>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</si>
  <si>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</si>
  <si>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</si>
  <si>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</si>
  <si>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</si>
  <si>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</si>
  <si>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</si>
  <si>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</si>
  <si>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</si>
  <si>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</si>
  <si>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</si>
  <si>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</si>
  <si>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</si>
  <si>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</si>
  <si>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</si>
  <si>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</si>
  <si>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</si>
  <si>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</si>
  <si>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</si>
  <si>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</si>
  <si>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</si>
  <si>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</si>
  <si>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</si>
  <si>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</si>
  <si>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</si>
  <si>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</si>
  <si>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</si>
  <si>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</si>
  <si>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</si>
  <si>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</si>
  <si>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</si>
  <si>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</si>
  <si>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</si>
  <si>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</si>
  <si>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</si>
  <si>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</si>
  <si>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</si>
  <si>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</si>
  <si>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</si>
  <si>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</si>
  <si>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</si>
  <si>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</si>
  <si>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</si>
  <si>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</si>
  <si>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</si>
  <si>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</si>
  <si>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</si>
  <si>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</si>
  <si>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</si>
  <si>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</si>
  <si>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</si>
  <si>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</si>
  <si>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</si>
  <si>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</si>
  <si>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</si>
  <si>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</si>
  <si>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</si>
  <si>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</si>
  <si>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</si>
  <si>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</si>
  <si>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</si>
  <si>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</si>
  <si>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</si>
  <si>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</si>
  <si>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</si>
  <si>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</si>
  <si>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</si>
  <si>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</si>
  <si>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</si>
  <si>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</si>
  <si>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</si>
  <si>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</si>
  <si>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</si>
  <si>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</si>
  <si>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</si>
  <si>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</si>
  <si>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</si>
  <si>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</si>
  <si>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</si>
  <si>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</si>
  <si>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</si>
  <si>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</si>
  <si>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</si>
  <si>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</si>
  <si>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</si>
  <si>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</si>
  <si>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</si>
  <si>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</si>
  <si>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</si>
  <si>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</si>
  <si>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</si>
  <si>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</si>
  <si>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</si>
  <si>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</si>
  <si>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</si>
  <si>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</si>
  <si>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</si>
  <si>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</si>
  <si>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</si>
  <si>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</si>
  <si>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</si>
  <si>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</si>
  <si>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</si>
  <si>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</si>
  <si>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</si>
  <si>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</si>
  <si>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</si>
  <si>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</si>
  <si>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</si>
  <si>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</si>
  <si>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</si>
  <si>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</si>
  <si>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</si>
  <si>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</si>
  <si>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</si>
  <si>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</si>
  <si>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</si>
  <si>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</si>
  <si>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</si>
  <si>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</si>
  <si>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</si>
  <si>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</si>
  <si>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</si>
  <si>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</si>
  <si>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</si>
  <si>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</si>
  <si>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</si>
  <si>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</si>
  <si>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</si>
  <si>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</si>
  <si>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</si>
  <si>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</si>
  <si>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</si>
  <si>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</si>
  <si>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</si>
  <si>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</si>
  <si>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</si>
  <si>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</si>
  <si>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</si>
  <si>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</si>
  <si>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</si>
  <si>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</si>
  <si>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</si>
  <si>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</si>
  <si>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</si>
  <si>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</si>
  <si>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</si>
  <si>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</si>
  <si>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</si>
  <si>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</si>
  <si>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</si>
  <si>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</si>
  <si>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</si>
  <si>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</si>
  <si>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</si>
  <si>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</si>
  <si>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</si>
  <si>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</si>
  <si>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</si>
  <si>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</si>
  <si>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</si>
  <si>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</si>
  <si>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</si>
  <si>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</si>
  <si>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</si>
  <si>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</si>
  <si>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</si>
  <si>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</si>
  <si>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</si>
  <si>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</si>
  <si>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</si>
  <si>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</si>
  <si>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</si>
  <si>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</si>
  <si>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</si>
  <si>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</si>
  <si>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</si>
  <si>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</si>
  <si>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</si>
  <si>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</si>
  <si>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</si>
  <si>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</si>
  <si>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</si>
  <si>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</si>
  <si>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</si>
  <si>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</si>
  <si>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</si>
  <si>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</si>
  <si>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</si>
  <si>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</si>
  <si>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</si>
  <si>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</si>
  <si>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</si>
  <si>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</si>
  <si>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</si>
  <si>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</si>
  <si>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</si>
  <si>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</si>
  <si>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</si>
  <si>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</si>
  <si>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</si>
  <si>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</si>
  <si>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</si>
  <si>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</si>
  <si>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</si>
  <si>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</si>
  <si>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</si>
  <si>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</si>
  <si>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</si>
  <si>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</si>
  <si>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</si>
  <si>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</si>
  <si>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</si>
  <si>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</si>
  <si>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</si>
  <si>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</si>
  <si>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</si>
  <si>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</si>
  <si>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</si>
  <si>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</si>
  <si>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</si>
  <si>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</si>
  <si>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</si>
  <si>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</si>
  <si>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</si>
  <si>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</si>
  <si>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</si>
  <si>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</si>
  <si>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</si>
  <si>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</si>
  <si>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</si>
  <si>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</si>
  <si>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</si>
  <si>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</si>
  <si>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</si>
  <si>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</si>
  <si>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</si>
  <si>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</si>
  <si>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</si>
  <si>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</si>
  <si>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</si>
  <si>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</si>
  <si>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</si>
  <si>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</si>
  <si>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</si>
  <si>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</si>
  <si>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</si>
  <si>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</si>
  <si>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</si>
  <si>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</si>
  <si>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</si>
  <si>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</si>
  <si>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</si>
  <si>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</si>
  <si>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</si>
  <si>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</si>
  <si>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</si>
  <si>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</si>
  <si>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</si>
  <si>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</si>
  <si>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</si>
  <si>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</si>
  <si>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</si>
  <si>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</si>
  <si>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</si>
  <si>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</si>
  <si>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</si>
  <si>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</si>
  <si>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</si>
  <si>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</si>
  <si>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</si>
  <si>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</si>
  <si>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</si>
  <si>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</si>
  <si>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</si>
  <si>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</si>
  <si>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</si>
  <si>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</si>
  <si>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</si>
  <si>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</si>
  <si>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</si>
  <si>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</si>
  <si>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</si>
  <si>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</si>
  <si>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</si>
  <si>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</si>
  <si>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</si>
  <si>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</si>
  <si>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</si>
  <si>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</si>
  <si>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</si>
  <si>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</si>
  <si>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</si>
  <si>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</si>
  <si>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</si>
  <si>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</si>
  <si>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</si>
  <si>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</si>
  <si>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</si>
  <si>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</si>
  <si>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</si>
  <si>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</si>
  <si>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</si>
  <si>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</si>
  <si>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</si>
  <si>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</si>
  <si>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</si>
  <si>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</si>
  <si>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</si>
  <si>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</si>
  <si>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</si>
  <si>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</si>
  <si>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</si>
  <si>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</si>
  <si>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</si>
  <si>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</si>
  <si>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</si>
  <si>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</si>
  <si>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</si>
  <si>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</si>
  <si>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</si>
  <si>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</si>
  <si>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</si>
  <si>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</si>
  <si>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</si>
  <si>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</si>
  <si>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</si>
  <si>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</si>
  <si>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</si>
  <si>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</si>
  <si>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</si>
  <si>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</si>
  <si>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</si>
  <si>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</si>
  <si>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</si>
  <si>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</si>
  <si>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</si>
  <si>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</si>
  <si>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</si>
  <si>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</si>
  <si>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</si>
  <si>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</si>
  <si>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</si>
  <si>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</si>
  <si>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</si>
  <si>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</si>
  <si>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</si>
  <si>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</si>
  <si>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</si>
  <si>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</si>
  <si>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</si>
  <si>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</si>
  <si>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</si>
  <si>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</si>
  <si>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</si>
  <si>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</si>
  <si>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</si>
  <si>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</si>
  <si>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</si>
  <si>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</si>
  <si>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</si>
  <si>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</si>
  <si>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</si>
  <si>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</si>
  <si>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</si>
  <si>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</si>
  <si>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</si>
  <si>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</si>
  <si>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</si>
  <si>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</si>
  <si>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</si>
  <si>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</si>
  <si>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</si>
  <si>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</si>
  <si>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</si>
  <si>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</si>
  <si>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</si>
  <si>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</si>
  <si>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</si>
  <si>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</si>
  <si>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</si>
  <si>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</si>
  <si>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</si>
  <si>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</si>
  <si>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</si>
  <si>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</si>
  <si>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</si>
  <si>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</si>
  <si>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</si>
  <si>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</si>
  <si>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</si>
  <si>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</si>
  <si>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</si>
  <si>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</si>
  <si>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</si>
  <si>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</si>
  <si>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</si>
  <si>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</si>
  <si>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</si>
  <si>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</si>
  <si>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</si>
  <si>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</si>
  <si>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</si>
  <si>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</si>
  <si>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</si>
  <si>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</si>
  <si>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</si>
  <si>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</si>
  <si>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</si>
  <si>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</si>
  <si>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</si>
  <si>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</si>
  <si>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</si>
  <si>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</si>
  <si>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</si>
  <si>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</si>
  <si>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</si>
  <si>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</si>
  <si>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</si>
  <si>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</si>
  <si>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</si>
  <si>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</si>
  <si>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</si>
  <si>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</si>
  <si>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</si>
  <si>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</si>
  <si>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</si>
  <si>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</si>
  <si>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</si>
  <si>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</si>
  <si>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</si>
  <si>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</si>
  <si>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</si>
  <si>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</si>
  <si>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</si>
  <si>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</si>
  <si>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</si>
  <si>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</si>
  <si>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</si>
  <si>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</si>
  <si>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</si>
  <si>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</si>
  <si>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</si>
  <si>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</si>
  <si>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</si>
  <si>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</si>
  <si>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</si>
  <si>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</si>
  <si>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</si>
  <si>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</si>
  <si>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</si>
  <si>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</si>
  <si>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</si>
  <si>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</si>
  <si>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</si>
  <si>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</si>
  <si>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</si>
  <si>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</si>
  <si>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</si>
  <si>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</si>
  <si>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</si>
  <si>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</si>
  <si>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</si>
  <si>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</si>
  <si>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</si>
  <si>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</si>
  <si>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</si>
  <si>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</si>
  <si>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</si>
  <si>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</si>
  <si>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</si>
  <si>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</si>
  <si>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</si>
  <si>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</si>
  <si>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</si>
  <si>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</si>
  <si>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</si>
  <si>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</si>
  <si>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</si>
  <si>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</si>
  <si>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</si>
  <si>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</si>
  <si>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</si>
  <si>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</si>
  <si>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</si>
  <si>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</si>
  <si>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</si>
  <si>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</si>
  <si>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</si>
  <si>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</si>
  <si>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</si>
  <si>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</si>
  <si>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</si>
  <si>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</si>
  <si>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</si>
  <si>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</si>
  <si>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</si>
  <si>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</si>
  <si>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</si>
  <si>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</si>
  <si>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</si>
  <si>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</si>
  <si>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</si>
  <si>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</si>
  <si>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</si>
  <si>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</si>
  <si>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</si>
  <si>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</si>
  <si>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</si>
  <si>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</si>
  <si>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</si>
  <si>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</si>
  <si>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</si>
  <si>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</si>
  <si>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</si>
  <si>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</si>
  <si>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</si>
  <si>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</si>
  <si>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</si>
  <si>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</si>
  <si>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</si>
  <si>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</si>
  <si>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</si>
  <si>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</si>
  <si>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</si>
  <si>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</si>
  <si>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</si>
  <si>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</si>
  <si>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</si>
  <si>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</si>
  <si>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</si>
  <si>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</si>
  <si>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</si>
  <si>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</si>
  <si>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</si>
  <si>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</si>
  <si>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</si>
  <si>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</si>
  <si>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</si>
  <si>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</si>
  <si>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</si>
  <si>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</si>
  <si>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</si>
  <si>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</si>
  <si>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</si>
  <si>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</si>
  <si>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</si>
  <si>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</si>
  <si>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</si>
  <si>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</si>
  <si>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</si>
  <si>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</si>
  <si>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</si>
  <si>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</si>
  <si>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</si>
  <si>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</si>
  <si>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</si>
  <si>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</si>
  <si>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</si>
  <si>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</si>
  <si>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</si>
  <si>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</si>
  <si>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</si>
  <si>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</si>
  <si>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</si>
  <si>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</si>
  <si>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</si>
  <si>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</si>
  <si>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</si>
  <si>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</si>
  <si>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</si>
  <si>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</si>
  <si>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</si>
  <si>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</si>
  <si>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</si>
  <si>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</si>
  <si>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</si>
  <si>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</si>
  <si>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</si>
  <si>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</si>
  <si>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</si>
  <si>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</si>
  <si>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</si>
  <si>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</si>
  <si>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</si>
  <si>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</si>
  <si>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</si>
  <si>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</si>
  <si>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</si>
  <si>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</si>
  <si>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</si>
  <si>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</si>
  <si>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</si>
  <si>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</si>
  <si>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</si>
  <si>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</si>
  <si>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</si>
  <si>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</si>
  <si>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</si>
  <si>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</si>
  <si>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</si>
  <si>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</si>
  <si>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</si>
  <si>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</si>
  <si>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</si>
  <si>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</si>
  <si>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</si>
  <si>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</si>
  <si>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</si>
  <si>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</si>
  <si>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</si>
  <si>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</si>
  <si>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</si>
  <si>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</si>
  <si>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</si>
  <si>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</si>
  <si>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</si>
  <si>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</si>
  <si>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</si>
  <si>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</si>
  <si>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</si>
  <si>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</si>
  <si>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</si>
  <si>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</si>
  <si>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</si>
  <si>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</si>
  <si>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</si>
  <si>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</si>
  <si>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</si>
  <si>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</si>
  <si>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</si>
  <si>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</si>
  <si>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</si>
  <si>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</si>
  <si>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</si>
  <si>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</si>
  <si>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</si>
  <si>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</si>
  <si>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</si>
  <si>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</si>
  <si>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</si>
  <si>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</si>
  <si>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</si>
  <si>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</si>
  <si>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</si>
  <si>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</si>
  <si>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</si>
  <si>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</si>
  <si>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</si>
  <si>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</si>
  <si>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</si>
  <si>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</si>
  <si>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</si>
  <si>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</si>
  <si>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</si>
  <si>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</si>
  <si>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</si>
  <si>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</si>
  <si>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</si>
  <si>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</si>
  <si>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</si>
  <si>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</si>
  <si>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</si>
  <si>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</si>
  <si>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</si>
  <si>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</si>
  <si>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</si>
  <si>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</si>
  <si>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</si>
  <si>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</si>
  <si>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</si>
  <si>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</si>
  <si>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</si>
  <si>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</si>
  <si>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</si>
  <si>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</si>
  <si>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</si>
  <si>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</si>
  <si>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</si>
  <si>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</si>
  <si>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</si>
  <si>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</si>
  <si>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</si>
  <si>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</si>
  <si>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</si>
  <si>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</si>
  <si>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</si>
  <si>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</si>
  <si>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</si>
  <si>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</si>
  <si>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</si>
  <si>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</si>
  <si>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</si>
  <si>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</si>
  <si>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</si>
  <si>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</si>
  <si>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</si>
  <si>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</si>
  <si>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</si>
  <si>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</si>
  <si>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</si>
  <si>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</si>
  <si>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</si>
  <si>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</si>
  <si>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</si>
  <si>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</si>
  <si>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</si>
  <si>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</si>
  <si>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</si>
  <si>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</si>
  <si>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</si>
  <si>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</si>
  <si>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</si>
  <si>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</si>
  <si>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</si>
  <si>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</si>
  <si>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</si>
  <si>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</si>
  <si>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</si>
  <si>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</si>
  <si>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</si>
  <si>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</si>
  <si>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</si>
  <si>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</si>
  <si>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</si>
  <si>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</si>
  <si>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</si>
  <si>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</si>
  <si>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</si>
  <si>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</si>
  <si>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</si>
  <si>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</si>
  <si>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</si>
  <si>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</si>
  <si>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</si>
  <si>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</si>
  <si>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</si>
  <si>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</si>
  <si>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</si>
  <si>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</si>
  <si>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</si>
  <si>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</si>
  <si>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</si>
  <si>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</si>
  <si>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</si>
  <si>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</si>
  <si>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</si>
  <si>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</si>
  <si>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</si>
  <si>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</si>
  <si>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</si>
  <si>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</si>
  <si>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</si>
  <si>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</si>
  <si>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</si>
  <si>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</si>
  <si>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</si>
  <si>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</si>
  <si>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</si>
  <si>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</si>
  <si>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</si>
  <si>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</si>
  <si>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</si>
  <si>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</si>
  <si>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</si>
  <si>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</si>
  <si>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</si>
  <si>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</si>
  <si>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</si>
  <si>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</si>
  <si>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</si>
  <si>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</si>
  <si>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</si>
  <si>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</si>
  <si>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</si>
  <si>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</si>
  <si>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</si>
  <si>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</si>
  <si>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</si>
  <si>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</si>
  <si>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</si>
  <si>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</si>
  <si>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</si>
  <si>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</si>
  <si>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</si>
  <si>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</si>
  <si>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</si>
  <si>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</si>
  <si>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</si>
  <si>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</si>
  <si>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</si>
  <si>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</si>
  <si>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</si>
  <si>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</si>
  <si>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</si>
  <si>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</si>
  <si>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</si>
  <si>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</si>
  <si>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</si>
  <si>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</si>
  <si>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</si>
  <si>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</si>
  <si>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</si>
  <si>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</si>
  <si>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</si>
  <si>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</si>
  <si>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</si>
  <si>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</si>
  <si>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</si>
  <si>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</si>
  <si>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</si>
  <si>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</si>
  <si>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</si>
  <si>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</si>
  <si>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</si>
  <si>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</si>
  <si>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</si>
  <si>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</si>
  <si>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</si>
  <si>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</si>
  <si>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</si>
  <si>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</si>
  <si>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</si>
  <si>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</si>
  <si>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</si>
  <si>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</si>
  <si>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</si>
  <si>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</si>
  <si>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</si>
  <si>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</si>
  <si>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</si>
  <si>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</si>
  <si>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</si>
  <si>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</si>
  <si>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</si>
  <si>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</si>
  <si>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</si>
  <si>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</si>
  <si>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</si>
  <si>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</si>
  <si>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</si>
  <si>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</si>
  <si>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</si>
  <si>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</si>
  <si>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</si>
  <si>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</si>
  <si>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</si>
  <si>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</si>
  <si>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</si>
  <si>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</si>
  <si>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</si>
  <si>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</si>
  <si>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</si>
  <si>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</si>
  <si>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</si>
  <si>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</si>
  <si>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</si>
  <si>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</si>
  <si>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</si>
  <si>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</si>
  <si>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</si>
  <si>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</si>
  <si>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</si>
  <si>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</si>
  <si>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</si>
  <si>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</si>
  <si>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</si>
  <si>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</si>
  <si>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</si>
  <si>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</si>
  <si>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</si>
  <si>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</si>
  <si>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</si>
  <si>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</si>
  <si>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</si>
  <si>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</si>
  <si>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</si>
  <si>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</si>
  <si>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</si>
  <si>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</si>
  <si>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</si>
  <si>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</si>
  <si>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</si>
  <si>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</si>
  <si>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</si>
  <si>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</si>
  <si>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</si>
  <si>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</si>
  <si>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</si>
  <si>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</si>
  <si>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</si>
  <si>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</si>
  <si>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</si>
  <si>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</si>
  <si>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</si>
  <si>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</si>
  <si>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</si>
  <si>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</si>
  <si>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</si>
  <si>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</si>
  <si>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</si>
  <si>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</si>
  <si>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</si>
  <si>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</si>
  <si>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</si>
  <si>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</si>
  <si>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</si>
  <si>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</si>
  <si>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</si>
  <si>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</si>
  <si>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</si>
  <si>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</si>
  <si>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</si>
  <si>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</si>
  <si>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</si>
  <si>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</si>
  <si>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</si>
  <si>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</si>
  <si>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</si>
  <si>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</si>
  <si>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</si>
  <si>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</si>
  <si>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</si>
  <si>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</si>
  <si>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</si>
  <si>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</si>
  <si>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</si>
  <si>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</si>
  <si>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</si>
  <si>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</si>
  <si>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</si>
  <si>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</si>
  <si>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</si>
  <si>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</si>
  <si>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</si>
  <si>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</si>
  <si>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</si>
  <si>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</si>
  <si>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</si>
  <si>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</si>
  <si>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</si>
  <si>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</si>
  <si>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</si>
  <si>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</si>
  <si>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</si>
  <si>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</si>
  <si>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</si>
  <si>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</si>
  <si>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</si>
  <si>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</si>
  <si>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</si>
  <si>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</si>
  <si>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</si>
  <si>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</si>
  <si>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</si>
  <si>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</si>
  <si>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</si>
  <si>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</si>
  <si>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</si>
  <si>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</si>
  <si>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</si>
  <si>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</si>
  <si>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</si>
  <si>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</si>
  <si>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</si>
  <si>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</si>
  <si>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</si>
  <si>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</si>
  <si>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</si>
  <si>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</si>
  <si>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</si>
  <si>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</si>
  <si>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</si>
  <si>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</si>
  <si>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</si>
  <si>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</si>
  <si>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</si>
  <si>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</si>
  <si>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</si>
  <si>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</si>
  <si>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</si>
  <si>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</si>
  <si>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</si>
  <si>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</si>
  <si>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</si>
  <si>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</si>
  <si>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</si>
  <si>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</si>
  <si>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</si>
  <si>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</si>
  <si>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</si>
  <si>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</si>
  <si>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</si>
  <si>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</si>
  <si>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</si>
  <si>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</si>
  <si>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</si>
  <si>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</si>
  <si>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</si>
  <si>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</si>
  <si>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</si>
  <si>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</si>
  <si>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</si>
  <si>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</si>
  <si>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</si>
  <si>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</si>
  <si>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</si>
  <si>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</si>
  <si>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</si>
  <si>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</si>
  <si>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</si>
  <si>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</si>
  <si>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</si>
  <si>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</si>
  <si>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</si>
  <si>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</si>
  <si>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</si>
  <si>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</si>
  <si>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</si>
  <si>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</si>
  <si>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</si>
  <si>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</si>
  <si>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</si>
  <si>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</si>
  <si>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</si>
  <si>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</si>
  <si>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</si>
  <si>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</si>
  <si>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</si>
  <si>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</si>
  <si>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</si>
  <si>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</si>
  <si>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</si>
  <si>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</si>
  <si>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</si>
  <si>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</si>
  <si>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</si>
  <si>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</si>
  <si>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</si>
  <si>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</si>
  <si>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</si>
  <si>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</si>
  <si>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</si>
  <si>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</si>
  <si>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</si>
  <si>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</si>
  <si>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</si>
  <si>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</si>
  <si>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</si>
  <si>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</si>
  <si>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</si>
  <si>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</si>
  <si>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</si>
  <si>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</si>
  <si>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</si>
  <si>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</si>
  <si>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</si>
  <si>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</si>
  <si>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</si>
  <si>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</si>
  <si>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</si>
  <si>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</si>
  <si>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</si>
  <si>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</si>
  <si>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</si>
  <si>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</si>
  <si>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</si>
  <si>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</si>
  <si>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</si>
  <si>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</si>
  <si>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</si>
  <si>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</si>
  <si>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</si>
  <si>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</si>
  <si>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</si>
  <si>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</si>
  <si>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</si>
  <si>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</si>
  <si>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</si>
  <si>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</si>
  <si>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</si>
  <si>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</si>
  <si>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</si>
  <si>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</si>
  <si>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</si>
  <si>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</si>
  <si>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</si>
  <si>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</si>
  <si>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</si>
  <si>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</si>
  <si>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</si>
  <si>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</si>
  <si>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</si>
  <si>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</si>
  <si>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</si>
  <si>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</si>
  <si>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</si>
  <si>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</si>
  <si>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</si>
  <si>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</si>
  <si>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</si>
  <si>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</si>
  <si>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</si>
  <si>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</si>
  <si>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</si>
  <si>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</si>
  <si>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</si>
  <si>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</si>
  <si>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</si>
  <si>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</si>
  <si>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</si>
  <si>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</si>
  <si>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</si>
  <si>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</si>
  <si>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</si>
  <si>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</si>
  <si>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</si>
  <si>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</si>
  <si>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</si>
  <si>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</si>
  <si>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</si>
  <si>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</si>
  <si>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</si>
  <si>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</si>
  <si>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</si>
  <si>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</si>
  <si>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</si>
  <si>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</si>
  <si>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</si>
  <si>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</si>
  <si>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</si>
  <si>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</si>
  <si>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</si>
  <si>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</si>
  <si>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</si>
  <si>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</si>
  <si>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</si>
  <si>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</si>
  <si>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</si>
  <si>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</si>
  <si>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</si>
  <si>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</si>
  <si>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</si>
  <si>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</si>
  <si>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</si>
  <si>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</si>
  <si>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</si>
  <si>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</si>
  <si>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</si>
  <si>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</si>
  <si>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</si>
  <si>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</si>
  <si>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</si>
  <si>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</si>
  <si>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</si>
  <si>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</si>
  <si>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</si>
  <si>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</si>
  <si>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</si>
  <si>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</si>
  <si>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</si>
  <si>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</si>
  <si>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</si>
  <si>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</si>
  <si>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</si>
  <si>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</si>
  <si>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</si>
  <si>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</si>
  <si>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</si>
  <si>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</si>
  <si>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</si>
  <si>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</si>
  <si>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</si>
  <si>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</si>
  <si>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</si>
  <si>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</si>
  <si>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</si>
  <si>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</si>
  <si>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</si>
  <si>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</si>
  <si>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</si>
  <si>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</si>
  <si>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</si>
  <si>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</si>
  <si>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</si>
  <si>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</si>
  <si>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</si>
  <si>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</si>
  <si>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</si>
  <si>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</si>
  <si>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</si>
  <si>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</si>
  <si>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</si>
  <si>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</si>
  <si>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</si>
  <si>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</si>
  <si>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</si>
  <si>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</si>
  <si>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</si>
  <si>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</si>
  <si>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</si>
  <si>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</si>
  <si>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</si>
  <si>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</si>
  <si>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</si>
  <si>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</si>
  <si>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</si>
  <si>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</si>
  <si>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</si>
  <si>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</si>
  <si>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</si>
  <si>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</si>
  <si>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</si>
  <si>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</si>
  <si>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</si>
  <si>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</si>
  <si>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</si>
  <si>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</si>
  <si>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</si>
  <si>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</si>
  <si>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</si>
  <si>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</si>
  <si>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</si>
  <si>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</si>
  <si>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</si>
  <si>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</si>
  <si>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</si>
  <si>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</si>
  <si>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</si>
  <si>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</si>
  <si>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</si>
  <si>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</si>
  <si>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</si>
  <si>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</si>
  <si>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</si>
  <si>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</si>
  <si>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</si>
  <si>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</si>
  <si>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</si>
  <si>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</si>
  <si>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</si>
  <si>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</si>
  <si>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</si>
  <si>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</si>
  <si>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</si>
  <si>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</si>
  <si>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</si>
  <si>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</si>
  <si>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</si>
  <si>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</si>
  <si>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</si>
  <si>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</si>
  <si>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</si>
  <si>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</si>
  <si>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</si>
  <si>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</si>
  <si>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</si>
  <si>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</si>
  <si>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</si>
  <si>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</si>
  <si>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</si>
  <si>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</si>
  <si>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</si>
  <si>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</si>
  <si>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</si>
  <si>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</si>
  <si>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</si>
  <si>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</si>
  <si>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</si>
  <si>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</si>
  <si>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</si>
  <si>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</si>
  <si>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</si>
  <si>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</si>
  <si>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</si>
  <si>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</si>
  <si>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</si>
  <si>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</si>
  <si>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</si>
  <si>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</si>
  <si>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</si>
  <si>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</si>
  <si>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</si>
  <si>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</si>
  <si>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</si>
  <si>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</si>
  <si>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</si>
  <si>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</si>
  <si>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</si>
  <si>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</si>
  <si>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</si>
  <si>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</si>
  <si>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</si>
  <si>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</si>
  <si>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</si>
  <si>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</si>
  <si>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</si>
  <si>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</si>
  <si>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</si>
  <si>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</si>
  <si>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</si>
  <si>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</si>
  <si>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</si>
  <si>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</si>
  <si>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</si>
  <si>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</si>
  <si>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</si>
  <si>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</si>
  <si>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</si>
  <si>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</si>
  <si>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</si>
  <si>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</si>
  <si>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</si>
  <si>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</si>
  <si>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</si>
  <si>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</si>
  <si>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</si>
  <si>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</si>
  <si>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</si>
  <si>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 xml:space="preserve">MC1 08:37, aguarda oportunidade </t>
  </si>
  <si>
    <t xml:space="preserve">MC1 08:40, aguarda oportunidade </t>
  </si>
  <si>
    <t xml:space="preserve">Execução de solda no AMV </t>
  </si>
  <si>
    <t>Equipe no local 08:05, aguarda temperatura para atividade</t>
  </si>
  <si>
    <t>Adenilson</t>
  </si>
  <si>
    <t xml:space="preserve">Aguarda informar pronto para alinhar faixa </t>
  </si>
  <si>
    <t xml:space="preserve">MC1 08:35, aguarda oportunidade </t>
  </si>
  <si>
    <t xml:space="preserve">MC1 12h, equipe em deslocamento </t>
  </si>
  <si>
    <t>Deslocamento de ZTP para TAP</t>
  </si>
  <si>
    <t>1(Edson)</t>
  </si>
  <si>
    <t xml:space="preserve">Aguarda termino de carregametno para alinhar faixa </t>
  </si>
  <si>
    <t>MC1 9h</t>
  </si>
  <si>
    <t>V53</t>
  </si>
  <si>
    <t>ZTO</t>
  </si>
  <si>
    <t>ZXE-ZTO</t>
  </si>
  <si>
    <t>ZXEZTO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</si>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</sst>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 hidden="1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 hidden="1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 hidden="1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 hidden="1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 hidden="1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 hidden="1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 hidden="1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 hidden="1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 hidden="1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 hidden="1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 hidden="1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 hidden="1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 hidden="1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 hidden="1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 hidden="1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 hidden="1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 hidden="1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 hidden="1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 hidden="1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 hidden="1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 hidden="1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 hidden="1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 hidden="1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 hidden="1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 hidden="1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 hidden="1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 hidden="1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 hidden="1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 hidden="1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 hidden="1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 hidden="1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 hidden="1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 hidden="1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 hidden="1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 hidden="1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 hidden="1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 hidden="1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 hidden="1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 hidden="1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 hidden="1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 hidden="1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 hidden="1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 hidden="1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 hidden="1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 hidden="1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 hidden="1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 hidden="1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 hidden="1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 hidden="1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 hidden="1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 hidden="1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 hidden="1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 hidden="1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 hidden="1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 hidden="1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 hidden="1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 hidden="1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 hidden="1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 hidden="1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 hidden="1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 hidden="1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 hidden="1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 hidden="1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 hidden="1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 hidden="1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 hidden="1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 hidden="1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 hidden="1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 hidden="1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 hidden="1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 hidden="1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 hidden="1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 hidden="1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 hidden="1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 hidden="1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 hidden="1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 hidden="1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 hidden="1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 hidden="1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 hidden="1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 hidden="1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 hidden="1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 hidden="1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 hidden="1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 hidden="1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 hidden="1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 hidden="1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 hidden="1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 hidden="1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 hidden="1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 hidden="1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 hidden="1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 hidden="1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 hidden="1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 hidden="1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 hidden="1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 hidden="1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 hidden="1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 hidden="1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 hidden="1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 hidden="1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 hidden="1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 hidden="1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 hidden="1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 hidden="1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 hidden="1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 hidden="1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 hidden="1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 hidden="1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 hidden="1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 hidden="1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 hidden="1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 hidden="1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 hidden="1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 hidden="1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 hidden="1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 hidden="1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 hidden="1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 hidden="1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 hidden="1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 hidden="1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 hidden="1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 hidden="1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 hidden="1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 hidden="1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 hidden="1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 hidden="1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 hidden="1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 hidden="1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 hidden="1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 hidden="1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 hidden="1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 hidden="1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 hidden="1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 hidden="1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 hidden="1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 hidden="1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 hidden="1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 hidden="1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 hidden="1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 hidden="1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 hidden="1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 hidden="1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 hidden="1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 hidden="1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 hidden="1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 hidden="1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 hidden="1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 hidden="1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 hidden="1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 hidden="1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 hidden="1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 hidden="1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 hidden="1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 hidden="1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 hidden="1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 hidden="1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 hidden="1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 hidden="1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 hidden="1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 hidden="1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 hidden="1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 hidden="1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 hidden="1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 hidden="1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 hidden="1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 hidden="1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 hidden="1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 hidden="1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 hidden="1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 hidden="1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 hidden="1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 hidden="1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 hidden="1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 hidden="1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 hidden="1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 hidden="1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 hidden="1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 hidden="1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 hidden="1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 hidden="1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 hidden="1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 hidden="1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 hidden="1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 hidden="1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 hidden="1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 hidden="1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 hidden="1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 hidden="1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 hidden="1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 hidden="1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 hidden="1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 hidden="1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 hidden="1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 hidden="1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 hidden="1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 hidden="1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 hidden="1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 hidden="1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 hidden="1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 hidden="1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 hidden="1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 hidden="1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 hidden="1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 hidden="1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 hidden="1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 hidden="1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 hidden="1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 hidden="1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 hidden="1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 hidden="1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 hidden="1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 hidden="1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 hidden="1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 hidden="1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 hidden="1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 hidden="1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 hidden="1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 hidden="1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 hidden="1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 hidden="1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 hidden="1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 hidden="1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 hidden="1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 hidden="1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 hidden="1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 hidden="1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 hidden="1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 hidden="1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 hidden="1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 hidden="1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 hidden="1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 hidden="1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 hidden="1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 hidden="1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 hidden="1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 hidden="1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 hidden="1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 hidden="1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 hidden="1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 hidden="1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 hidden="1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 hidden="1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 hidden="1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 hidden="1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 hidden="1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 hidden="1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 hidden="1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 hidden="1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 hidden="1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 hidden="1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 hidden="1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 hidden="1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 hidden="1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 hidden="1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 hidden="1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 hidden="1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 hidden="1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 hidden="1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 hidden="1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 hidden="1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 hidden="1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 hidden="1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 hidden="1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 hidden="1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 hidden="1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 hidden="1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 hidden="1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 hidden="1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 hidden="1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 hidden="1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 hidden="1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 hidden="1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 hidden="1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 hidden="1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 hidden="1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 hidden="1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 hidden="1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 hidden="1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 hidden="1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 hidden="1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 hidden="1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 hidden="1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 hidden="1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 hidden="1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 hidden="1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 hidden="1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 hidden="1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 hidden="1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 hidden="1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 hidden="1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 hidden="1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 hidden="1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 hidden="1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 hidden="1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 hidden="1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 hidden="1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 hidden="1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 hidden="1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 hidden="1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 hidden="1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 hidden="1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 hidden="1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 hidden="1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 hidden="1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 hidden="1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 hidden="1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 hidden="1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 hidden="1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 hidden="1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 hidden="1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 hidden="1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 hidden="1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 hidden="1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 hidden="1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 hidden="1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 hidden="1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 hidden="1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 hidden="1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 hidden="1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 hidden="1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 hidden="1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 hidden="1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 hidden="1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 hidden="1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 hidden="1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 hidden="1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 hidden="1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 hidden="1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 hidden="1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 hidden="1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 hidden="1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 hidden="1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 hidden="1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 hidden="1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 hidden="1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 hidden="1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 hidden="1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 hidden="1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 hidden="1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 hidden="1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 hidden="1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 hidden="1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 hidden="1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 hidden="1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 hidden="1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 hidden="1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 hidden="1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 hidden="1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 hidden="1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 hidden="1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 hidden="1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 hidden="1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 hidden="1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 hidden="1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 hidden="1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 hidden="1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 hidden="1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 hidden="1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 hidden="1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 hidden="1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 hidden="1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 hidden="1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 hidden="1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 hidden="1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 hidden="1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 hidden="1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 hidden="1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 hidden="1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 hidden="1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 hidden="1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 hidden="1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 hidden="1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 hidden="1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 hidden="1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 hidden="1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 hidden="1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 hidden="1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 hidden="1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 hidden="1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 hidden="1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 hidden="1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 hidden="1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 hidden="1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 hidden="1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 hidden="1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 hidden="1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 hidden="1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 hidden="1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 hidden="1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 hidden="1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 hidden="1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 hidden="1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 hidden="1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 hidden="1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 hidden="1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 hidden="1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 hidden="1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 hidden="1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 hidden="1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 hidden="1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 hidden="1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 hidden="1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 hidden="1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 hidden="1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 hidden="1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 hidden="1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 hidden="1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 hidden="1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 hidden="1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 hidden="1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 hidden="1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 hidden="1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 hidden="1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 hidden="1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 hidden="1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BF2" activePane="topRight" state="frozen"/>
      <selection pane="topRight" activeCell="BJ270" sqref="BJ27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21.75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 t="s">
        <v>1752</v>
      </c>
      <c r="BL253" s="13"/>
      <c r="BM253" s="12" t="s">
        <v>1025</v>
      </c>
      <c r="BN253" s="12" t="s">
        <v>1055</v>
      </c>
      <c r="BO253" s="130" t="s">
        <v>1156</v>
      </c>
      <c r="BP253" s="14" t="s">
        <v>640</v>
      </c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 t="s">
        <v>1752</v>
      </c>
      <c r="BL256" s="13"/>
      <c r="BM256" s="12" t="s">
        <v>1025</v>
      </c>
      <c r="BN256" s="12" t="s">
        <v>1055</v>
      </c>
      <c r="BO256" s="130" t="s">
        <v>1156</v>
      </c>
      <c r="BP256" s="14" t="s">
        <v>640</v>
      </c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>
        <v>4.1666666666666666E-3</v>
      </c>
      <c r="AS257" s="32">
        <v>0</v>
      </c>
      <c r="AT257" s="32">
        <v>0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>
        <v>0</v>
      </c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 t="s">
        <v>1025</v>
      </c>
      <c r="BN257" s="12" t="s">
        <v>1055</v>
      </c>
      <c r="BO257" s="130" t="s">
        <v>1156</v>
      </c>
      <c r="BP257" s="14" t="s">
        <v>640</v>
      </c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>CCOCirculaçãoIntervaloOportunidade</v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>
        <v>0.35486111111111113</v>
      </c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 t="s">
        <v>1756</v>
      </c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546.24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>
        <v>0.33680555555555558</v>
      </c>
      <c r="AS264" s="32">
        <v>0.37916666666666665</v>
      </c>
      <c r="AT264" s="32">
        <v>0.44166666666666665</v>
      </c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6.25E-2</v>
      </c>
      <c r="AZ264" s="11"/>
      <c r="BA264" s="60">
        <v>2</v>
      </c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>
        <v>2</v>
      </c>
      <c r="BI264" s="14"/>
      <c r="BJ264" s="14" t="s">
        <v>1757</v>
      </c>
      <c r="BK264" s="14" t="s">
        <v>1758</v>
      </c>
      <c r="BL264" s="13"/>
      <c r="BM264" s="12"/>
      <c r="BN264" s="12"/>
      <c r="BO264" s="130"/>
      <c r="BP264" s="14"/>
      <c r="BQ264" s="10" t="str">
        <f t="shared" si="28"/>
        <v>Aderente</v>
      </c>
      <c r="BR264" s="15">
        <f t="shared" si="29"/>
        <v>1</v>
      </c>
      <c r="BS264" s="15">
        <f t="shared" si="30"/>
        <v>2</v>
      </c>
      <c r="BT264" s="231" t="str">
        <f t="shared" si="31"/>
        <v/>
      </c>
    </row>
    <row r="265" spans="1:72" hidden="1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878</v>
      </c>
      <c r="E265" s="175">
        <v>304</v>
      </c>
      <c r="F265" s="133" t="s">
        <v>654</v>
      </c>
      <c r="G265" s="8" t="str">
        <f>IF(D265="","*",VLOOKUP(F265,BS_ATIVIDADE[#All],3,FALSE))</f>
        <v>OUTROS</v>
      </c>
      <c r="H265" s="134" t="s">
        <v>1293</v>
      </c>
      <c r="I265" s="134" t="s">
        <v>177</v>
      </c>
      <c r="J265" s="150">
        <v>74</v>
      </c>
      <c r="K265" s="150">
        <v>500</v>
      </c>
      <c r="L265" s="71" t="s">
        <v>640</v>
      </c>
      <c r="M265" s="148" t="s">
        <v>1759</v>
      </c>
      <c r="N265" s="148" t="s">
        <v>1760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1566</v>
      </c>
      <c r="W265" s="220" t="s">
        <v>1761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1533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1681</v>
      </c>
      <c r="E266" s="175">
        <v>274</v>
      </c>
      <c r="F266" s="133" t="s">
        <v>822</v>
      </c>
      <c r="G266" s="8" t="str">
        <f>IF(D266="","*",VLOOKUP(F266,BS_ATIVIDADE[#All],3,FALSE))</f>
        <v>SOLDA</v>
      </c>
      <c r="H266" s="134" t="s">
        <v>640</v>
      </c>
      <c r="I266" s="134" t="s">
        <v>640</v>
      </c>
      <c r="J266" s="150">
        <v>74</v>
      </c>
      <c r="K266" s="150">
        <v>335.35899999999998</v>
      </c>
      <c r="L266" s="71" t="s">
        <v>640</v>
      </c>
      <c r="M266" s="148" t="s">
        <v>1762</v>
      </c>
      <c r="N266" s="148" t="s">
        <v>1763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1764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>
        <v>0.35833333333333334</v>
      </c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/>
      <c r="BI266" s="14"/>
      <c r="BJ266" s="14" t="s">
        <v>1765</v>
      </c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>
        <v>0.35902777777777778</v>
      </c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 t="s">
        <v>1766</v>
      </c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>
        <v>0.3611111111111111</v>
      </c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 t="s">
        <v>1767</v>
      </c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1768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>
        <v>0.33680555555555558</v>
      </c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 t="s">
        <v>1769</v>
      </c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242.202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1770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/>
      <c r="BI271" s="14"/>
      <c r="BJ271" s="14" t="s">
        <v>1771</v>
      </c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>
        <v>0.3576388888888889</v>
      </c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 t="s">
        <v>1772</v>
      </c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 t="s">
        <v>23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 t="s">
        <v>1773</v>
      </c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1774</v>
      </c>
      <c r="X276" s="151" t="s">
        <v>1005</v>
      </c>
      <c r="Y276" s="129"/>
      <c r="Z276" s="129"/>
      <c r="AA276" s="71" t="s">
        <v>1775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 t="s">
        <v>1776</v>
      </c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 t="s">
        <v>1777</v>
      </c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>V53</v>
      </c>
      <c r="B279" s="132"/>
      <c r="C279" s="7" t="str">
        <f>IF(BS_CONTROLE[[#This Row],[DATA]]="","",WEEKNUM(BS_CONTROLE[[#This Row],[DATA]]))</f>
        <v/>
      </c>
      <c r="D279" s="45" t="s">
        <v>1778</v>
      </c>
      <c r="E279" s="175">
        <v>317</v>
      </c>
      <c r="F279" s="133" t="s">
        <v>654</v>
      </c>
      <c r="G279" s="8" t="str">
        <f>IF(D279="","*",VLOOKUP(F279,BS_ATIVIDADE[#All],3,FALSE))</f>
        <v>OUTROS</v>
      </c>
      <c r="H279" s="134" t="s">
        <v>319</v>
      </c>
      <c r="I279" s="134" t="s">
        <v>1779</v>
      </c>
      <c r="J279" s="150">
        <v>72</v>
      </c>
      <c r="K279" s="150">
        <v>320</v>
      </c>
      <c r="L279" s="71" t="s">
        <v>640</v>
      </c>
      <c r="M279" s="148" t="s">
        <v>1780</v>
      </c>
      <c r="N279" s="148" t="s">
        <v>1781</v>
      </c>
      <c r="O279" s="134">
        <v>0.33333333333333331</v>
      </c>
      <c r="P279" s="134">
        <v>4.1666666666666664E-2</v>
      </c>
      <c r="Q279" s="71">
        <v>1</v>
      </c>
      <c r="R279" s="9" t="str">
        <f>IFERROR(_xlfn.XLOOKUP(F279, BS_ATIVIDADE[ATIVIDADE],BS_ATIVIDADE[UNIDADE] ), "*")</f>
        <v>BINÁRIO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188" t="str">
        <f>IFERROR(_xlfn.XLOOKUP(J279, BASE_MAPA!$B$2:$B$420, BASE_MAPA!$G$2:$G$420), "ERRO")</f>
        <v>ARARAQUARA - COLOMBIA</v>
      </c>
      <c r="V279" s="142" t="s">
        <v>1630</v>
      </c>
      <c r="W279" s="134" t="s">
        <v>1446</v>
      </c>
      <c r="X279" s="151" t="s">
        <v>1005</v>
      </c>
      <c r="Y279" s="129"/>
      <c r="Z279" s="129"/>
      <c r="AA279" s="71">
        <v>1</v>
      </c>
      <c r="AB279" s="59" t="s">
        <v>997</v>
      </c>
      <c r="AC279" s="59"/>
      <c r="AD279" s="134">
        <v>0.29166666666666669</v>
      </c>
      <c r="AE279" s="71">
        <v>6253</v>
      </c>
      <c r="AF279" s="71" t="s">
        <v>640</v>
      </c>
      <c r="AG279" s="71"/>
      <c r="AH279" s="42"/>
      <c r="AI279" s="119" t="str">
        <f>IF(BS_CONTROLE[[#This Row],[Atividade]]=0, "-", BS_CONTROLE[[#This Row],[Atividade]])</f>
        <v>DESLOCAMENTO</v>
      </c>
      <c r="AJ279" s="8" t="str">
        <f>IF(D279="","*",VLOOKUP(AI279,BS_ATIVIDADE[#Data],3,FALSE))</f>
        <v>OUTROS</v>
      </c>
      <c r="AK279" s="166" t="str">
        <f>IF(BS_CONTROLE[[#This Row],[Local - Partida]]=0, "-", BS_CONTROLE[[#This Row],[Local - Partida]])</f>
        <v>ZXE</v>
      </c>
      <c r="AL279" s="166" t="str">
        <f>IF(BS_CONTROLE[[#This Row],[Local - Encerramento]]=0, "-", BS_CONTROLE[[#This Row],[Local - Encerramento]])</f>
        <v>ZTO</v>
      </c>
      <c r="AM279" s="166" t="str">
        <f>IF(BS_CONTROLE[[#This Row],[Entre - Estações]]=0, "-", BS_CONTROLE[[#This Row],[Entre - Estações]])</f>
        <v>ZXE-ZTO</v>
      </c>
      <c r="AN279" s="166" t="str">
        <f>IF(BS_CONTROLE[[#This Row],[SB]]=0, "-", BS_CONTROLE[[#This Row],[SB]])</f>
        <v>ZXEZTO</v>
      </c>
      <c r="AO279" s="167">
        <f>IF(BS_CONTROLE[[#This Row],[SUB]]=0, "-", BS_CONTROLE[[#This Row],[SUB]])</f>
        <v>72</v>
      </c>
      <c r="AP279" s="168">
        <f>IF(BS_CONTROLE[[#This Row],[KM - Inicio]]=0, "-", BS_CONTROLE[[#This Row],[KM - Inicio]])</f>
        <v>320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BINÁRIO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89" t="str">
        <f>IFERROR(_xlfn.XLOOKUP(AO279, BASE_MAPA!$B$2:$B$420, BASE_MAPA!$G$2:$G$420), "ERRO")</f>
        <v>ARARAQUARA - COLOMBIA</v>
      </c>
      <c r="BF279" s="169" t="str">
        <f>IF(BS_CONTROLE[[#This Row],[Responsavel pelo boletim]]=0, "-", BS_CONTROLE[[#This Row],[Responsavel pelo boletim]])</f>
        <v>Higor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5" operator="equal">
      <formula>"ERRO"</formula>
    </cfRule>
  </conditionalFormatting>
  <conditionalFormatting sqref="X4 Y1:Z4 Y8:Z757">
    <cfRule type="cellIs" dxfId="125" priority="18514" operator="equal">
      <formula>"OPORTUNIDADE"</formula>
    </cfRule>
  </conditionalFormatting>
  <conditionalFormatting sqref="AZ6:AZ757">
    <cfRule type="expression" dxfId="124" priority="18509">
      <formula>$BU6=1</formula>
    </cfRule>
  </conditionalFormatting>
  <conditionalFormatting sqref="BQ6:BQ757">
    <cfRule type="cellIs" dxfId="123" priority="18520" operator="equal">
      <formula>"Produção e Intervalo"</formula>
    </cfRule>
    <cfRule type="cellIs" dxfId="122" priority="18521" operator="equal">
      <formula>"Aderente"</formula>
    </cfRule>
    <cfRule type="cellIs" dxfId="121" priority="18522" operator="equal">
      <formula>"Intervalo"</formula>
    </cfRule>
    <cfRule type="cellIs" dxfId="120" priority="18523" operator="equal">
      <formula>"Produção"</formula>
    </cfRule>
    <cfRule type="cellIs" dxfId="119" priority="18524" operator="equal">
      <formula>"ERRO"</formula>
    </cfRule>
  </conditionalFormatting>
  <conditionalFormatting sqref="BR6:BS757">
    <cfRule type="cellIs" dxfId="118" priority="18502" operator="equal">
      <formula>"*"</formula>
    </cfRule>
    <cfRule type="cellIs" dxfId="117" priority="18503" operator="greaterThanOrEqual">
      <formula>1</formula>
    </cfRule>
    <cfRule type="cellIs" dxfId="116" priority="18504" operator="lessThan">
      <formula>1</formula>
    </cfRule>
  </conditionalFormatting>
  <conditionalFormatting sqref="Y8:Z757">
    <cfRule type="cellIs" dxfId="115" priority="18450" operator="equal">
      <formula>"NÃO"</formula>
    </cfRule>
    <cfRule type="cellIs" dxfId="114" priority="18451" operator="equal">
      <formula>"SIM"</formula>
    </cfRule>
  </conditionalFormatting>
  <conditionalFormatting sqref="Y1047820:Y1048576">
    <cfRule type="cellIs" dxfId="113" priority="18331" operator="equal">
      <formula>"OPORTUNIDADE"</formula>
    </cfRule>
  </conditionalFormatting>
  <conditionalFormatting sqref="Y1047820:Y1048576">
    <cfRule type="cellIs" dxfId="112" priority="18329" operator="equal">
      <formula>"NÃO"</formula>
    </cfRule>
    <cfRule type="cellIs" dxfId="111" priority="18330" operator="equal">
      <formula>"SIM"</formula>
    </cfRule>
  </conditionalFormatting>
  <conditionalFormatting sqref="Y6:Y7">
    <cfRule type="cellIs" dxfId="110" priority="51" operator="equal">
      <formula>"OPORTUNIDADE"</formula>
    </cfRule>
  </conditionalFormatting>
  <conditionalFormatting sqref="Y6:Y7">
    <cfRule type="cellIs" dxfId="109" priority="49" operator="equal">
      <formula>"NÃO"</formula>
    </cfRule>
    <cfRule type="cellIs" dxfId="108" priority="50" operator="equal">
      <formula>"SIM"</formula>
    </cfRule>
  </conditionalFormatting>
  <conditionalFormatting sqref="BK1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4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5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52 BK254:BK255 BK257:BK757">
    <cfRule type="iconSet" priority="25348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8">
      <iconSet showValue="0">
        <cfvo type="percent" val="0"/>
        <cfvo type="num" val="1"/>
        <cfvo type="num" val="1" gte="0"/>
      </iconSet>
    </cfRule>
    <cfRule type="iconSet" priority="25859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1782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1783</v>
      </c>
      <c r="E3" s="176" t="s">
        <v>1784</v>
      </c>
      <c r="F3" s="176" t="s">
        <v>1785</v>
      </c>
      <c r="G3" s="176" t="s">
        <v>1786</v>
      </c>
      <c r="H3" s="176" t="s">
        <v>1787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1788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1789</v>
      </c>
      <c r="D12" s="177">
        <v>9049</v>
      </c>
      <c r="E12" s="178">
        <v>46044</v>
      </c>
      <c r="F12" s="180" t="s">
        <v>1790</v>
      </c>
      <c r="G12" s="177" t="s">
        <v>1791</v>
      </c>
      <c r="H12" s="177"/>
    </row>
    <row r="13" spans="3:8">
      <c r="C13" s="177" t="s">
        <v>1789</v>
      </c>
      <c r="D13" s="177">
        <v>9044</v>
      </c>
      <c r="E13" s="178">
        <v>46044</v>
      </c>
      <c r="F13" s="180" t="s">
        <v>1792</v>
      </c>
      <c r="G13" s="177" t="s">
        <v>1793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1794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1794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B266" sqref="B266:T283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1795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1796</v>
      </c>
      <c r="B3" s="91" t="s">
        <v>1797</v>
      </c>
      <c r="C3" s="91" t="s">
        <v>636</v>
      </c>
      <c r="D3" s="92" t="s">
        <v>1212</v>
      </c>
      <c r="E3" s="92" t="s">
        <v>4</v>
      </c>
      <c r="F3" s="92" t="s">
        <v>1798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1799</v>
      </c>
      <c r="T3" s="94" t="s">
        <v>1215</v>
      </c>
      <c r="U3" s="90">
        <f ca="1">TODAY()-1</f>
        <v>46075</v>
      </c>
      <c r="V3" s="90">
        <f ca="1">U3-1</f>
        <v>46074</v>
      </c>
      <c r="W3" s="90">
        <f ca="1">V3-1</f>
        <v>46073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16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2700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16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2700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16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100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2700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16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100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63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9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2700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16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100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63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2700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16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63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100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2700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2700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2700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16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63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100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9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2700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16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100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63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2700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16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63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100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9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2700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16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63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100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0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2700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20</v>
      </c>
      <c r="W131" s="98">
        <f ca="1">_xlfn.XLOOKUP(G131&amp;$W$3,BS_CONTROLE[CHAVE],BS_CONTROLE[Quantidade_11],"-")</f>
        <v>16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 t="str">
        <f ca="1">_xlfn.XLOOKUP(G132&amp;$U$3,BS_CONTROLE[CHAVE],BS_CONTROLE[Quantidade_11],"-")</f>
        <v>-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100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2700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20</v>
      </c>
      <c r="W144" s="98">
        <f ca="1">_xlfn.XLOOKUP(G144&amp;$W$3,BS_CONTROLE[CHAVE],BS_CONTROLE[Quantidade_11],"-")</f>
        <v>16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2700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2700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20</v>
      </c>
      <c r="W153" s="98">
        <f ca="1">_xlfn.XLOOKUP(G153&amp;$W$3,BS_CONTROLE[CHAVE],BS_CONTROLE[Quantidade_11],"-")</f>
        <v>16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>
        <f ca="1">_xlfn.XLOOKUP(G155&amp;$W$3,BS_CONTROLE[CHAVE],BS_CONTROLE[Quantidade_11],"-")</f>
        <v>63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100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2700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 t="str">
        <f ca="1">_xlfn.XLOOKUP(G165&amp;$U$3,BS_CONTROLE[CHAVE],BS_CONTROLE[Quantidade_11],"-")</f>
        <v>-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20</v>
      </c>
      <c r="W168" s="98">
        <f ca="1">_xlfn.XLOOKUP(G168&amp;$W$3,BS_CONTROLE[CHAVE],BS_CONTROLE[Quantidade_11],"-")</f>
        <v>16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100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>
        <f ca="1">_xlfn.XLOOKUP(G174&amp;$W$3,BS_CONTROLE[CHAVE],BS_CONTROLE[Quantidade_11],"-")</f>
        <v>63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2700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1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20</v>
      </c>
      <c r="W184" s="98">
        <f ca="1">_xlfn.XLOOKUP(G184&amp;$W$3,BS_CONTROLE[CHAVE],BS_CONTROLE[Quantidade_11],"-")</f>
        <v>16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63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100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 t="str">
        <f ca="1">_xlfn.XLOOKUP(G190&amp;$U$3,BS_CONTROLE[CHAVE],BS_CONTROLE[Quantidade_11],"-")</f>
        <v>-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2700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 t="str">
        <f ca="1">_xlfn.XLOOKUP(G199&amp;$U$3,BS_CONTROLE[CHAVE],BS_CONTROLE[Quantidade_11],"-")</f>
        <v>-</v>
      </c>
      <c r="V199" s="98">
        <f ca="1">_xlfn.XLOOKUP(G199&amp;$V$3,BS_CONTROLE[CHAVE],BS_CONTROLE[Quantidade_11],"-")</f>
        <v>1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>
        <f ca="1">_xlfn.XLOOKUP(G201&amp;$W$3,BS_CONTROLE[CHAVE],BS_CONTROLE[Quantidade_11],"-")</f>
        <v>63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1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20</v>
      </c>
      <c r="W203" s="98">
        <f ca="1">_xlfn.XLOOKUP(G203&amp;$W$3,BS_CONTROLE[CHAVE],BS_CONTROLE[Quantidade_11],"-")</f>
        <v>16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 t="str">
        <f ca="1">_xlfn.XLOOKUP(G204&amp;$U$3,BS_CONTROLE[CHAVE],BS_CONTROLE[Quantidade_11],"-")</f>
        <v>-</v>
      </c>
      <c r="V204" s="98">
        <f ca="1">_xlfn.XLOOKUP(G204&amp;$V$3,BS_CONTROLE[CHAVE],BS_CONTROLE[Quantidade_11],"-")</f>
        <v>100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 t="str">
        <f ca="1">_xlfn.XLOOKUP(G208&amp;$U$3,BS_CONTROLE[CHAVE],BS_CONTROLE[Quantidade_11],"-")</f>
        <v>-</v>
      </c>
      <c r="V208" s="98">
        <f ca="1">_xlfn.XLOOKUP(G208&amp;$V$3,BS_CONTROLE[CHAVE],BS_CONTROLE[Quantidade_11],"-")</f>
        <v>0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>
        <f ca="1">_xlfn.XLOOKUP(G213&amp;$W$3,BS_CONTROLE[CHAVE],BS_CONTROLE[Quantidade_11],"-")</f>
        <v>63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2700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 t="str">
        <f ca="1">_xlfn.XLOOKUP(G216&amp;$U$3,BS_CONTROLE[CHAVE],BS_CONTROLE[Quantidade_11],"-")</f>
        <v>-</v>
      </c>
      <c r="V216" s="98">
        <f ca="1">_xlfn.XLOOKUP(G216&amp;$V$3,BS_CONTROLE[CHAVE],BS_CONTROLE[Quantidade_11],"-")</f>
        <v>1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 t="str">
        <f ca="1">_xlfn.XLOOKUP(G220&amp;$U$3,BS_CONTROLE[CHAVE],BS_CONTROLE[Quantidade_11],"-")</f>
        <v>-</v>
      </c>
      <c r="V220" s="98">
        <f ca="1">_xlfn.XLOOKUP(G220&amp;$V$3,BS_CONTROLE[CHAVE],BS_CONTROLE[Quantidade_11],"-")</f>
        <v>20</v>
      </c>
      <c r="W220" s="98">
        <f ca="1">_xlfn.XLOOKUP(G220&amp;$W$3,BS_CONTROLE[CHAVE],BS_CONTROLE[Quantidade_11],"-")</f>
        <v>16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 t="str">
        <f ca="1">_xlfn.XLOOKUP(G227&amp;$U$3,BS_CONTROLE[CHAVE],BS_CONTROLE[Quantidade_11],"-")</f>
        <v>-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 t="str">
        <f ca="1">_xlfn.XLOOKUP(G229&amp;$U$3,BS_CONTROLE[CHAVE],BS_CONTROLE[Quantidade_11],"-")</f>
        <v>-</v>
      </c>
      <c r="V229" s="98">
        <f ca="1">_xlfn.XLOOKUP(G229&amp;$V$3,BS_CONTROLE[CHAVE],BS_CONTROLE[Quantidade_11],"-")</f>
        <v>100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 t="str">
        <f ca="1">_xlfn.XLOOKUP(G230&amp;$U$3,BS_CONTROLE[CHAVE],BS_CONTROLE[Quantidade_11],"-")</f>
        <v>-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 t="str">
        <f ca="1">_xlfn.XLOOKUP(G238&amp;$U$3,BS_CONTROLE[CHAVE],BS_CONTROLE[Quantidade_11],"-")</f>
        <v>-</v>
      </c>
      <c r="V238" s="98">
        <f ca="1">_xlfn.XLOOKUP(G238&amp;$V$3,BS_CONTROLE[CHAVE],BS_CONTROLE[Quantidade_11],"-")</f>
        <v>1</v>
      </c>
      <c r="W238" s="98">
        <f ca="1">_xlfn.XLOOKUP(G238&amp;$W$3,BS_CONTROLE[CHAVE],BS_CONTROLE[Quantidade_11],"-")</f>
        <v>0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2700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 t="str">
        <f ca="1">_xlfn.XLOOKUP(G240&amp;$U$3,BS_CONTROLE[CHAVE],BS_CONTROLE[Quantidade_11],"-")</f>
        <v>-</v>
      </c>
      <c r="V240" s="98">
        <f ca="1">_xlfn.XLOOKUP(G240&amp;$V$3,BS_CONTROLE[CHAVE],BS_CONTROLE[Quantidade_11],"-")</f>
        <v>20</v>
      </c>
      <c r="W240" s="98">
        <f ca="1">_xlfn.XLOOKUP(G240&amp;$W$3,BS_CONTROLE[CHAVE],BS_CONTROLE[Quantidade_11],"-")</f>
        <v>16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 t="str">
        <f ca="1">_xlfn.XLOOKUP(G241&amp;$U$3,BS_CONTROLE[CHAVE],BS_CONTROLE[Quantidade_11],"-")</f>
        <v>-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1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0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0</v>
      </c>
      <c r="W244" s="98">
        <f ca="1">_xlfn.XLOOKUP(G244&amp;$W$3,BS_CONTROLE[CHAVE],BS_CONTROLE[Quantidade_11],"-")</f>
        <v>0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100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 t="str">
        <f ca="1">_xlfn.XLOOKUP(G249&amp;$U$3,BS_CONTROLE[CHAVE],BS_CONTROLE[Quantidade_11],"-")</f>
        <v>-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 t="str">
        <f ca="1">_xlfn.XLOOKUP(G252&amp;$U$3,BS_CONTROLE[CHAVE],BS_CONTROLE[Quantidade_11],"-")</f>
        <v>-</v>
      </c>
      <c r="V252" s="98">
        <f ca="1">_xlfn.XLOOKUP(G252&amp;$V$3,BS_CONTROLE[CHAVE],BS_CONTROLE[Quantidade_11],"-")</f>
        <v>0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2700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0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2700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FERRONORTE</v>
      </c>
      <c r="E268" s="96" t="str">
        <f>IF(FN_MC!T263="","*",FN_MC!T263)</f>
        <v>TCS-TGR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TLA</v>
      </c>
      <c r="L268" s="186" t="str">
        <f>IF(FN_MC!N263="","*",FN_MC!N263)</f>
        <v>TLA1</v>
      </c>
      <c r="M268" s="97">
        <f>IF(FN_MC!J263="","*",FN_MC!J263)</f>
        <v>74</v>
      </c>
      <c r="N268" s="173">
        <f>IF(FN_MC!K263="","*",FN_MC!K263)</f>
        <v>335.35899999999998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0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Oportunidade</v>
      </c>
      <c r="C270" s="95" t="str">
        <f>IF(FN_MC!Z265="","*",FN_MC!Z265)</f>
        <v>*</v>
      </c>
      <c r="D270" s="96" t="str">
        <f>IF(FN_MC!S265="","*",FN_MC!S265)</f>
        <v>FERRONORTE</v>
      </c>
      <c r="E270" s="96" t="str">
        <f>IF(FN_MC!T265="","*",FN_MC!T265)</f>
        <v>TCS-TGR</v>
      </c>
      <c r="F270" s="96" t="str">
        <f>IF(FN_MC!B265="","*",FN_MC!B265)</f>
        <v>*</v>
      </c>
      <c r="G270" s="96" t="str">
        <f>IF(FN_MC!D265="","*",FN_MC!D265)</f>
        <v>W70</v>
      </c>
      <c r="H270" s="96" t="str">
        <f>IF(FN_MC!F265="","*",FN_MC!F265)</f>
        <v>DESLOCAMENTO</v>
      </c>
      <c r="I270" s="96" t="str">
        <f>IF(FN_MC!H265="","*",FN_MC!H265)</f>
        <v>TAG</v>
      </c>
      <c r="J270" s="96" t="str">
        <f>IF(FN_MC!I265="","*",FN_MC!I265)</f>
        <v>TOM</v>
      </c>
      <c r="K270" s="96" t="str">
        <f>IF(FN_MC!M265="","*",FN_MC!M265)</f>
        <v>TAG-TOM</v>
      </c>
      <c r="L270" s="186" t="str">
        <f>IF(FN_MC!N265="","*",FN_MC!N265)</f>
        <v>TAGTOM</v>
      </c>
      <c r="M270" s="97">
        <f>IF(FN_MC!J265="","*",FN_MC!J265)</f>
        <v>74</v>
      </c>
      <c r="N270" s="173">
        <f>IF(FN_MC!K265="","*",FN_MC!K265)</f>
        <v>500</v>
      </c>
      <c r="O270" s="173" t="str">
        <f>IF(FN_MC!L265="","*",FN_MC!L265)</f>
        <v>-</v>
      </c>
      <c r="P270" s="107">
        <f>IF(FN_MC!O265="","*",FN_MC!O265)</f>
        <v>0.4375</v>
      </c>
      <c r="Q270" s="107">
        <f>IF(FN_MC!P265="","*",FN_MC!P265)</f>
        <v>4.1666666666666664E-2</v>
      </c>
      <c r="R270" s="96" t="str">
        <f>IF(FN_MC!Q265="","*",CONCATENATE(FN_MC!Q265," ",FN_MC!R265))</f>
        <v>1 BINÁRIO</v>
      </c>
      <c r="S270" s="96" t="str">
        <f>IF(FN_MC!V265="","*",FN_MC!V265)</f>
        <v>Elton</v>
      </c>
      <c r="T270" s="96" t="str">
        <f>IF(FN_MC!W265="","*",FN_MC!W265)</f>
        <v>Deslocamento somente de locomotiva para abastecimento no TOM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20</v>
      </c>
      <c r="W270" s="98">
        <f ca="1">_xlfn.XLOOKUP(G270&amp;$W$3,BS_CONTROLE[CHAVE],BS_CONTROLE[Quantidade_11],"-")</f>
        <v>16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ELSON</v>
      </c>
      <c r="H271" s="96" t="str">
        <f>IF(FN_MC!F266="","*",FN_MC!F266)</f>
        <v>PDM - SOLDA</v>
      </c>
      <c r="I271" s="96" t="str">
        <f>IF(FN_MC!H266="","*",FN_MC!H266)</f>
        <v>-</v>
      </c>
      <c r="J271" s="96" t="str">
        <f>IF(FN_MC!I266="","*",FN_MC!I266)</f>
        <v>-</v>
      </c>
      <c r="K271" s="96" t="str">
        <f>IF(FN_MC!M266="","*",FN_MC!M266)</f>
        <v>TLA-S</v>
      </c>
      <c r="L271" s="186" t="str">
        <f>IF(FN_MC!N266="","*",FN_MC!N266)</f>
        <v>TLAS</v>
      </c>
      <c r="M271" s="97">
        <f>IF(FN_MC!J266="","*",FN_MC!J266)</f>
        <v>74</v>
      </c>
      <c r="N271" s="173">
        <f>IF(FN_MC!K266="","*",FN_MC!K266)</f>
        <v>335.35899999999998</v>
      </c>
      <c r="O271" s="173" t="str">
        <f>IF(FN_MC!L266="","*",FN_MC!L266)</f>
        <v>-</v>
      </c>
      <c r="P271" s="107">
        <f>IF(FN_MC!O266="","*",FN_MC!O266)</f>
        <v>0.4375</v>
      </c>
      <c r="Q271" s="107">
        <f>IF(FN_MC!P266="","*",FN_MC!P266)</f>
        <v>8.3333333333333329E-2</v>
      </c>
      <c r="R271" s="96" t="str">
        <f>IF(FN_MC!Q266="","*",CONCATENATE(FN_MC!Q266," ",FN_MC!R266))</f>
        <v>1 Nº DE SOLDA</v>
      </c>
      <c r="S271" s="96" t="str">
        <f>IF(FN_MC!V266="","*",FN_MC!V266)</f>
        <v>Elson</v>
      </c>
      <c r="T271" s="96" t="str">
        <f>IF(FN_MC!W266="","*",FN_MC!W266)</f>
        <v>Retirada de taco + solda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IF(FN_MC!Y267="","*",FN_MC!Y267)</f>
        <v>*</v>
      </c>
      <c r="B272" s="95" t="str">
        <f>IF(FN_MC!X267="","*",FN_MC!X267)</f>
        <v>Contrato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63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 t="str">
        <f>IF(FN_MC!N268="","*",FN_MC!N268)</f>
        <v>TVI239</v>
      </c>
      <c r="M273" s="97">
        <f>IF(FN_MC!J268="","*",FN_MC!J268)</f>
        <v>74</v>
      </c>
      <c r="N273" s="173">
        <f>IF(FN_MC!K268="","*",FN_MC!K268)</f>
        <v>239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0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 t="str">
        <f ca="1">_xlfn.XLOOKUP(G275&amp;$U$3,BS_CONTROLE[CHAVE],BS_CONTROLE[Quantidade_11],"-")</f>
        <v>-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TVI-TJA</v>
      </c>
      <c r="L276" s="186">
        <f>IF(FN_MC!N271="","*",FN_MC!N271)</f>
        <v>239251</v>
      </c>
      <c r="M276" s="97">
        <f>IF(FN_MC!J271="","*",FN_MC!J271)</f>
        <v>74</v>
      </c>
      <c r="N276" s="173">
        <f>IF(FN_MC!K271="","*",FN_MC!K271)</f>
        <v>242.202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4.1666666666666664E-2</v>
      </c>
      <c r="R276" s="96" t="str">
        <f>IF(FN_MC!Q271="","*",CONCATENATE(FN_MC!Q271," ",FN_MC!R271))</f>
        <v>8 M</v>
      </c>
      <c r="S276" s="96" t="str">
        <f>IF(FN_MC!V271="","*",FN_MC!V271)</f>
        <v>Adenilson</v>
      </c>
      <c r="T276" s="96" t="str">
        <f>IF(FN_MC!W271="","*",FN_MC!W271)</f>
        <v>Substituição de trilho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 t="str">
        <f ca="1">_xlfn.XLOOKUP(G278&amp;$U$3,BS_CONTROLE[CHAVE],BS_CONTROLE[Quantidade_11],"-")</f>
        <v>-</v>
      </c>
      <c r="V278" s="98">
        <f ca="1">_xlfn.XLOOKUP(G278&amp;$V$3,BS_CONTROLE[CHAVE],BS_CONTROLE[Quantidade_11],"-")</f>
        <v>100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Oportunidade</v>
      </c>
      <c r="C284" s="95" t="str">
        <f>IF(FN_MC!Z279="","*",FN_MC!Z279)</f>
        <v>*</v>
      </c>
      <c r="D284" s="96" t="str">
        <f>IF(FN_MC!S279="","*",FN_MC!S279)</f>
        <v>MALHA CENTRAL</v>
      </c>
      <c r="E284" s="96" t="str">
        <f>IF(FN_MC!T279="","*",FN_MC!T279)</f>
        <v>RAMAL</v>
      </c>
      <c r="F284" s="96" t="str">
        <f>IF(FN_MC!B279="","*",FN_MC!B279)</f>
        <v>*</v>
      </c>
      <c r="G284" s="96" t="str">
        <f>IF(FN_MC!D279="","*",FN_MC!D279)</f>
        <v>V53</v>
      </c>
      <c r="H284" s="96" t="str">
        <f>IF(FN_MC!F279="","*",FN_MC!F279)</f>
        <v>DESLOCAMENTO</v>
      </c>
      <c r="I284" s="96" t="str">
        <f>IF(FN_MC!H279="","*",FN_MC!H279)</f>
        <v>ZXE</v>
      </c>
      <c r="J284" s="96" t="str">
        <f>IF(FN_MC!I279="","*",FN_MC!I279)</f>
        <v>ZTO</v>
      </c>
      <c r="K284" s="96" t="str">
        <f>IF(FN_MC!M279="","*",FN_MC!M279)</f>
        <v>ZXE-ZTO</v>
      </c>
      <c r="L284" s="186" t="str">
        <f>IF(FN_MC!N279="","*",FN_MC!N279)</f>
        <v>ZXEZTO</v>
      </c>
      <c r="M284" s="97">
        <f>IF(FN_MC!J279="","*",FN_MC!J279)</f>
        <v>72</v>
      </c>
      <c r="N284" s="173">
        <f>IF(FN_MC!K279="","*",FN_MC!K279)</f>
        <v>320</v>
      </c>
      <c r="O284" s="173" t="str">
        <f>IF(FN_MC!L279="","*",FN_MC!L279)</f>
        <v>-</v>
      </c>
      <c r="P284" s="107">
        <f>IF(FN_MC!O279="","*",FN_MC!O279)</f>
        <v>0.33333333333333331</v>
      </c>
      <c r="Q284" s="107">
        <f>IF(FN_MC!P279="","*",FN_MC!P279)</f>
        <v>4.1666666666666664E-2</v>
      </c>
      <c r="R284" s="96" t="str">
        <f>IF(FN_MC!Q279="","*",CONCATENATE(FN_MC!Q279," ",FN_MC!R279))</f>
        <v>1 BINÁRIO</v>
      </c>
      <c r="S284" s="96" t="str">
        <f>IF(FN_MC!V279="","*",FN_MC!V279)</f>
        <v>Higor</v>
      </c>
      <c r="T284" s="96" t="str">
        <f>IF(FN_MC!W279="","*",FN_MC!W279)</f>
        <v>Deslocamento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1800</v>
      </c>
      <c r="C2" s="83" t="s">
        <v>1197</v>
      </c>
      <c r="D2" s="83" t="s">
        <v>1199</v>
      </c>
      <c r="E2" s="83" t="s">
        <v>1801</v>
      </c>
      <c r="F2" s="83" t="s">
        <v>1802</v>
      </c>
      <c r="G2" s="83" t="s">
        <v>1803</v>
      </c>
      <c r="H2" s="83" t="s">
        <v>1804</v>
      </c>
      <c r="I2" s="83" t="s">
        <v>1805</v>
      </c>
      <c r="J2" s="83" t="s">
        <v>1806</v>
      </c>
      <c r="K2" s="109" t="s">
        <v>1807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 t="str">
        <f>IF(FN_MC!AD267="","*",FN_MC!AD267)</f>
        <v>*</v>
      </c>
    </row>
    <row r="308" spans="2:1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V53</v>
      </c>
      <c r="E319" s="101" t="str">
        <f>IF(FN_MC!H279="","*",FN_MC!H279)</f>
        <v>ZXE</v>
      </c>
      <c r="F319" s="114" t="str">
        <f>IF(FN_MC!M279="","*",FN_MC!M279)</f>
        <v>ZXE-ZTO</v>
      </c>
      <c r="G319" s="101" t="str">
        <f>IF(FN_MC!I279="","*",FN_MC!I279)</f>
        <v>ZTO</v>
      </c>
      <c r="H319" s="101" t="str">
        <f>IF(FN_MC!AB279="","*",FN_MC!AB279)</f>
        <v>FIXO</v>
      </c>
      <c r="I319" s="101" t="str">
        <f>IF(FN_MC!AC279="","*",FN_MC!AC279)</f>
        <v>*</v>
      </c>
      <c r="J319" s="102">
        <f>IF(FN_MC!AA279="","*",FN_MC!AA279)</f>
        <v>1</v>
      </c>
      <c r="K319" s="112">
        <f>IF(FN_MC!AD279="","*",FN_MC!AD279)</f>
        <v>0.29166666666666669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1808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1809</v>
      </c>
      <c r="C4" s="181" t="s">
        <v>1810</v>
      </c>
      <c r="D4" s="181" t="s">
        <v>1811</v>
      </c>
      <c r="E4" s="181" t="s">
        <v>1812</v>
      </c>
      <c r="F4" s="181" t="s">
        <v>4</v>
      </c>
      <c r="G4" s="181" t="s">
        <v>1813</v>
      </c>
    </row>
    <row r="5" spans="2:7">
      <c r="B5" s="182" t="s">
        <v>1814</v>
      </c>
      <c r="C5" s="182">
        <v>309525</v>
      </c>
      <c r="D5" s="182" t="s">
        <v>1815</v>
      </c>
      <c r="E5" s="182" t="s">
        <v>878</v>
      </c>
      <c r="F5" s="182" t="s">
        <v>1816</v>
      </c>
      <c r="G5" s="183">
        <v>46296</v>
      </c>
    </row>
    <row r="6" spans="2:7">
      <c r="B6" s="182" t="s">
        <v>1817</v>
      </c>
      <c r="C6" s="182">
        <v>257410</v>
      </c>
      <c r="D6" s="182" t="s">
        <v>1818</v>
      </c>
      <c r="E6" s="182" t="s">
        <v>878</v>
      </c>
      <c r="F6" s="182" t="s">
        <v>1816</v>
      </c>
      <c r="G6" s="183"/>
    </row>
    <row r="7" spans="2:7">
      <c r="B7" s="182" t="s">
        <v>1484</v>
      </c>
      <c r="C7" s="182">
        <v>256875</v>
      </c>
      <c r="D7" s="182" t="s">
        <v>1819</v>
      </c>
      <c r="E7" s="182" t="s">
        <v>878</v>
      </c>
      <c r="F7" s="182" t="s">
        <v>1816</v>
      </c>
      <c r="G7" s="183">
        <v>46296</v>
      </c>
    </row>
    <row r="8" spans="2:7">
      <c r="B8" s="182" t="s">
        <v>1820</v>
      </c>
      <c r="C8" s="182">
        <v>257278</v>
      </c>
      <c r="D8" s="182" t="s">
        <v>1821</v>
      </c>
      <c r="E8" s="182" t="s">
        <v>869</v>
      </c>
      <c r="F8" s="182" t="s">
        <v>1822</v>
      </c>
      <c r="G8" s="183">
        <v>46235</v>
      </c>
    </row>
    <row r="9" spans="2:7">
      <c r="B9" s="182" t="s">
        <v>1823</v>
      </c>
      <c r="C9" s="182">
        <v>261794</v>
      </c>
      <c r="D9" s="182" t="s">
        <v>1824</v>
      </c>
      <c r="E9" s="182" t="s">
        <v>869</v>
      </c>
      <c r="F9" s="182" t="s">
        <v>1822</v>
      </c>
      <c r="G9" s="183">
        <v>46082</v>
      </c>
    </row>
    <row r="10" spans="2:7">
      <c r="B10" s="182" t="s">
        <v>1825</v>
      </c>
      <c r="C10" s="182">
        <v>257033</v>
      </c>
      <c r="D10" s="182" t="s">
        <v>1826</v>
      </c>
      <c r="E10" s="182" t="s">
        <v>869</v>
      </c>
      <c r="F10" s="182" t="s">
        <v>118</v>
      </c>
      <c r="G10" s="182" t="s">
        <v>1827</v>
      </c>
    </row>
    <row r="11" spans="2:7">
      <c r="B11" s="182" t="s">
        <v>1828</v>
      </c>
      <c r="C11" s="182">
        <v>396578</v>
      </c>
      <c r="D11" s="182" t="s">
        <v>1829</v>
      </c>
      <c r="E11" s="182" t="s">
        <v>869</v>
      </c>
      <c r="F11" s="182" t="s">
        <v>118</v>
      </c>
      <c r="G11" s="182" t="s">
        <v>1827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1830</v>
      </c>
      <c r="D5" s="271"/>
      <c r="E5" s="271"/>
      <c r="F5" s="271"/>
      <c r="G5" s="271"/>
      <c r="H5" s="271"/>
      <c r="I5" s="271"/>
      <c r="J5" s="272"/>
      <c r="K5" s="273" t="s">
        <v>1831</v>
      </c>
      <c r="L5" s="274"/>
      <c r="M5" s="274"/>
      <c r="N5" s="274"/>
      <c r="O5" s="275" t="s">
        <v>1832</v>
      </c>
      <c r="P5" s="276"/>
      <c r="Q5" s="277"/>
    </row>
    <row r="6" spans="1:17" s="81" customFormat="1" ht="15.75" customHeight="1">
      <c r="A6" s="75" t="s">
        <v>1798</v>
      </c>
      <c r="B6" s="82" t="s">
        <v>1797</v>
      </c>
      <c r="C6" s="83" t="s">
        <v>1212</v>
      </c>
      <c r="D6" s="84" t="s">
        <v>1213</v>
      </c>
      <c r="E6" s="83" t="s">
        <v>1833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1834</v>
      </c>
      <c r="M6" s="116" t="s">
        <v>658</v>
      </c>
      <c r="N6" s="117" t="s">
        <v>1207</v>
      </c>
      <c r="O6" s="159" t="s">
        <v>1250</v>
      </c>
      <c r="P6" s="128"/>
      <c r="Q6" s="138" t="s">
        <v>1835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Sem Oportunidade de faixa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Sem Oportunidade de faixa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2</v>
      </c>
      <c r="P308" s="78"/>
      <c r="Q308" s="120" t="str">
        <f>IF($A$2=1,IF(FN_MC!BJ264="","*",FN_MC!BJ264),IF(FN_MC!BK264="","*",FN_MC!BK264))</f>
        <v>Intervalo das 09:06h as 10:26h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Oportunidade</v>
      </c>
      <c r="C323" s="87" t="str">
        <f>IF(FN_MC!S279="","*",FN_MC!S279)</f>
        <v>MALHA CENTRAL</v>
      </c>
      <c r="D323" s="87" t="str">
        <f>IF(FN_MC!T279="","*",FN_MC!T279)</f>
        <v>RAMAL</v>
      </c>
      <c r="E323" s="87" t="str">
        <f>IF(FN_MC!D279="","*",FN_MC!D279)</f>
        <v>V53</v>
      </c>
      <c r="F323" s="87" t="str">
        <f>IF(FN_MC!H279="","*",FN_MC!H279)</f>
        <v>ZXE</v>
      </c>
      <c r="G323" s="87" t="str">
        <f>IF(FN_MC!M279="","*",FN_MC!M279)</f>
        <v>ZXE-ZTO</v>
      </c>
      <c r="H323" s="125">
        <f>IF(FN_MC!K279="","*",FN_MC!K279)</f>
        <v>320</v>
      </c>
      <c r="I323" s="110">
        <f>IF(FN_MC!O279="","*",FN_MC!O279)</f>
        <v>0.33333333333333331</v>
      </c>
      <c r="J323" s="110">
        <f>IF(FN_MC!P279="","*",FN_MC!P279)</f>
        <v>4.1666666666666664E-2</v>
      </c>
      <c r="K323" s="118" t="str">
        <f>IF(FN_MC!AK279="","*",FN_MC!AK279)</f>
        <v>ZXE</v>
      </c>
      <c r="L323" s="118" t="str">
        <f>IF(FN_MC!AM279="","*",FN_MC!AM279)</f>
        <v>ZXE-ZTO</v>
      </c>
      <c r="M323" s="118">
        <f>IF(FN_MC!AP279="","*",FN_MC!AP279)</f>
        <v>320</v>
      </c>
      <c r="N323" s="118" t="str">
        <f>IF(FN_MC!AM279="","*",FN_MC!AM279)</f>
        <v>ZXE-ZTO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1836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2026-02-23T13:23:40Z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