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90" documentId="8_{B6337239-1A00-434D-AAD0-422EA1FEB5AE}" xr6:coauthVersionLast="47" xr6:coauthVersionMax="47" xr10:uidLastSave="{0B409C3D-CA02-49BC-B333-75FBC528BA0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55" i="1" l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9" i="1" a="1"/>
  <c r="N509" i="1"/>
  <c r="M509" i="1" a="1"/>
  <c r="M509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92" i="1" a="1"/>
  <c r="N492" i="1" s="1"/>
  <c r="M492" i="1" a="1"/>
  <c r="M492" i="1" s="1"/>
  <c r="N489" i="1" a="1"/>
  <c r="N489" i="1" s="1"/>
  <c r="M489" i="1" a="1"/>
  <c r="M48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BR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S491" i="12" s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49" i="12" l="1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<sst xmlns="http://schemas.openxmlformats.org/spreadsheetml/2006/main" count="11188" uniqueCount="1705">
  <si>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</si>
  <si>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</si>
  <si>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</si>
  <si>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</si>
  <si>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</si>
  <si>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</si>
  <si>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</si>
  <si>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</si>
  <si>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</si>
  <si>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</si>
  <si>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</si>
  <si>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</si>
  <si>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</si>
  <si>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</si>
  <si>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</si>
  <si>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</si>
  <si>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</si>
  <si>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</si>
  <si>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</si>
  <si>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</si>
  <si>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</si>
  <si>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</si>
  <si>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</si>
  <si>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</si>
  <si>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</si>
  <si>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</si>
  <si>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</si>
  <si>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</si>
  <si>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</si>
  <si>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</si>
  <si>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</si>
  <si>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</si>
  <si>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</si>
  <si>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</si>
  <si>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</si>
  <si>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</si>
  <si>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</si>
  <si>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</si>
  <si>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</si>
  <si>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</si>
  <si>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</si>
  <si>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</si>
  <si>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</si>
  <si>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</si>
  <si>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</si>
  <si>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</si>
  <si>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</si>
  <si>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</si>
  <si>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</si>
  <si>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</si>
  <si>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</si>
  <si>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</si>
  <si>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</si>
  <si>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</si>
  <si>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</si>
  <si>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</si>
  <si>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</si>
  <si>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</si>
  <si>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</si>
  <si>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</si>
  <si>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</si>
  <si>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</si>
  <si>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</si>
  <si>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</si>
  <si>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</si>
  <si>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</si>
  <si>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</si>
  <si>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</si>
  <si>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</si>
  <si>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</si>
  <si>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</si>
  <si>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</si>
  <si>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</si>
  <si>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</si>
  <si>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</si>
  <si>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</si>
  <si>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</si>
  <si>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</si>
  <si>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</si>
  <si>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</si>
  <si>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</si>
  <si>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</si>
  <si>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</si>
  <si>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</si>
  <si>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</si>
  <si>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</si>
  <si>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</si>
  <si>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</si>
  <si>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</si>
  <si>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</si>
  <si>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</si>
  <si>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</si>
  <si>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</si>
  <si>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</si>
  <si>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</si>
  <si>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</si>
  <si>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</si>
  <si>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</si>
  <si>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</si>
  <si>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</si>
  <si>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</si>
  <si>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</si>
  <si>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</si>
  <si>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</si>
  <si>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</si>
  <si>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</si>
  <si>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</si>
  <si>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</si>
  <si>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</si>
  <si>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</si>
  <si>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</si>
  <si>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</si>
  <si>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</si>
  <si>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</si>
  <si>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</si>
  <si>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</si>
  <si>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</si>
  <si>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</si>
  <si>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</si>
  <si>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</si>
  <si>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</si>
  <si>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</si>
  <si>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</si>
  <si>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</si>
  <si>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</si>
  <si>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</si>
  <si>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</si>
  <si>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</si>
  <si>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</si>
  <si>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</si>
  <si>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</si>
  <si>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</si>
  <si>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</si>
  <si>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</si>
  <si>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</si>
  <si>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</si>
  <si>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</si>
  <si>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</si>
  <si>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</si>
  <si>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</si>
  <si>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</si>
  <si>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</si>
  <si>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</si>
  <si>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</si>
  <si>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</si>
  <si>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</si>
  <si>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</si>
  <si>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</si>
  <si>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</si>
  <si>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</si>
  <si>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</si>
  <si>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</si>
  <si>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</si>
  <si>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</si>
  <si>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</si>
  <si>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</si>
  <si>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</si>
  <si>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</si>
  <si>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</si>
  <si>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</si>
  <si>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</si>
  <si>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</si>
  <si>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</si>
  <si>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</si>
  <si>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</si>
  <si>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</si>
  <si>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</si>
  <si>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</si>
  <si>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</si>
  <si>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</si>
  <si>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</si>
  <si>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</si>
  <si>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</si>
  <si>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</si>
  <si>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</si>
  <si>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</si>
  <si>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</si>
  <si>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</si>
  <si>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</si>
  <si>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</si>
  <si>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</si>
  <si>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</si>
  <si>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</si>
  <si>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</si>
  <si>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</si>
  <si>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</si>
  <si>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</si>
  <si>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</si>
  <si>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</si>
  <si>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</si>
  <si>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</si>
  <si>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</si>
  <si>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</si>
  <si>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</si>
  <si>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</si>
  <si>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</si>
  <si>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</si>
  <si>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</si>
  <si>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</si>
  <si>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</si>
  <si>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</si>
  <si>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</si>
  <si>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</si>
  <si>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</si>
  <si>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</si>
  <si>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</si>
  <si>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</si>
  <si>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</si>
  <si>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</si>
  <si>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</si>
  <si>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</si>
  <si>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</si>
  <si>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</si>
  <si>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</si>
  <si>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</si>
  <si>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</si>
  <si>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</si>
  <si>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</si>
  <si>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</si>
  <si>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</si>
  <si>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</si>
  <si>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</si>
  <si>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</si>
  <si>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</si>
  <si>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</si>
  <si>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</si>
  <si>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</si>
  <si>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</si>
  <si>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</si>
  <si>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</si>
  <si>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</si>
  <si>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</si>
  <si>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</si>
  <si>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</si>
  <si>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</si>
  <si>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</si>
  <si>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</si>
  <si>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</si>
  <si>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</si>
  <si>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</si>
  <si>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</si>
  <si>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</si>
  <si>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</si>
  <si>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</si>
  <si>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</si>
  <si>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</si>
  <si>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</si>
  <si>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</si>
  <si>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</si>
  <si>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</si>
  <si>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</si>
  <si>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</si>
  <si>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</si>
  <si>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</si>
  <si>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</si>
  <si>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</si>
  <si>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</si>
  <si>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</si>
  <si>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</si>
  <si>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</si>
  <si>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</si>
  <si>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</si>
  <si>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</si>
  <si>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</si>
  <si>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</si>
  <si>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</si>
  <si>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</si>
  <si>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</si>
  <si>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</si>
  <si>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</si>
  <si>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</si>
  <si>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</si>
  <si>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</si>
  <si>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</si>
  <si>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</si>
  <si>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</si>
  <si>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</si>
  <si>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</si>
  <si>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</si>
  <si>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</si>
  <si>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</si>
  <si>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</si>
  <si>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</si>
  <si>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</si>
  <si>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</si>
  <si>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</si>
  <si>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</si>
  <si>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</si>
  <si>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</si>
  <si>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</si>
  <si>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</si>
  <si>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</si>
  <si>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</si>
  <si>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</si>
  <si>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</si>
  <si>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</si>
  <si>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</si>
  <si>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</si>
  <si>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</si>
  <si>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</si>
  <si>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</si>
  <si>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</si>
  <si>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</si>
  <si>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</si>
  <si>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</si>
  <si>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</si>
  <si>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</si>
  <si>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</si>
  <si>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</si>
  <si>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</si>
  <si>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</si>
  <si>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</si>
  <si>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</si>
  <si>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</si>
  <si>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</si>
  <si>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</si>
  <si>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</si>
  <si>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</si>
  <si>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</si>
  <si>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</si>
  <si>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</si>
  <si>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</si>
  <si>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</si>
  <si>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</si>
  <si>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</si>
  <si>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</si>
  <si>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</si>
  <si>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</si>
  <si>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</si>
  <si>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</si>
  <si>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</si>
  <si>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</si>
  <si>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</si>
  <si>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</si>
  <si>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</si>
  <si>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</si>
  <si>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</si>
  <si>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</si>
  <si>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</si>
  <si>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</si>
  <si>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</si>
  <si>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</si>
  <si>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</si>
  <si>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</si>
  <si>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</si>
  <si>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</si>
  <si>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</si>
  <si>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</si>
  <si>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</si>
  <si>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</si>
  <si>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</si>
  <si>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</si>
  <si>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</si>
  <si>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</si>
  <si>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</si>
  <si>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</si>
  <si>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</si>
  <si>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</si>
  <si>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</si>
  <si>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</si>
  <si>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</si>
  <si>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</si>
  <si>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</si>
  <si>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</si>
  <si>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</si>
  <si>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</si>
  <si>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</si>
  <si>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</si>
  <si>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</si>
  <si>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</si>
  <si>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</si>
  <si>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</si>
  <si>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</si>
  <si>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</si>
  <si>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</si>
  <si>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</si>
  <si>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</si>
  <si>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</si>
  <si>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</si>
  <si>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</si>
  <si>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</si>
  <si>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</si>
  <si>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</si>
  <si>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</si>
  <si>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</si>
  <si>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</si>
  <si>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</si>
  <si>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</si>
  <si>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</si>
  <si>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</si>
  <si>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</si>
  <si>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</si>
  <si>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</si>
  <si>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</si>
  <si>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</si>
  <si>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</si>
  <si>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</si>
  <si>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</si>
  <si>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</si>
  <si>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</si>
  <si>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</si>
  <si>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</si>
  <si>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</si>
  <si>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</si>
  <si>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</si>
  <si>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</si>
  <si>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</si>
  <si>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</si>
  <si>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</si>
  <si>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</si>
  <si>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</si>
  <si>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</si>
  <si>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</si>
  <si>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</si>
  <si>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</si>
  <si>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</si>
  <si>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</si>
  <si>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</si>
  <si>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</si>
  <si>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</si>
  <si>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</si>
  <si>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</si>
  <si>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</si>
  <si>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</si>
  <si>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</si>
  <si>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</si>
  <si>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</si>
  <si>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</si>
  <si>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</si>
  <si>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</si>
  <si>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</si>
  <si>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</si>
  <si>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</si>
  <si>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</si>
  <si>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</si>
  <si>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</si>
  <si>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</si>
  <si>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</si>
  <si>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</si>
  <si>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</si>
  <si>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</si>
  <si>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</si>
  <si>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</si>
  <si>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</si>
  <si>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</si>
  <si>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</si>
  <si>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</si>
  <si>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</si>
  <si>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</si>
  <si>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</si>
  <si>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</si>
  <si>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</si>
  <si>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</si>
  <si>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</si>
  <si>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</si>
  <si>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</si>
  <si>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</si>
  <si>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</si>
  <si>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</si>
  <si>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</si>
  <si>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</si>
  <si>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</si>
  <si>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</si>
  <si>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</si>
  <si>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</si>
  <si>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</si>
  <si>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</si>
  <si>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</si>
  <si>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</si>
  <si>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</si>
  <si>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</si>
  <si>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</si>
  <si>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</si>
  <si>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</si>
  <si>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</si>
  <si>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</si>
  <si>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</si>
  <si>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</si>
  <si>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</si>
  <si>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</si>
  <si>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</si>
  <si>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</si>
  <si>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</si>
  <si>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</si>
  <si>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</si>
  <si>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</si>
  <si>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</si>
  <si>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</si>
  <si>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</si>
  <si>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</si>
  <si>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</si>
  <si>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</si>
  <si>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</si>
  <si>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</si>
  <si>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</si>
  <si>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</si>
  <si>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</si>
  <si>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</si>
  <si>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</si>
  <si>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</si>
  <si>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</si>
  <si>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</si>
  <si>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</si>
  <si>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</si>
  <si>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</si>
  <si>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</si>
  <si>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</si>
  <si>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</si>
  <si>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</si>
  <si>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</si>
  <si>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</si>
  <si>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</si>
  <si>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</si>
  <si>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</si>
  <si>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</si>
  <si>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</si>
  <si>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</si>
  <si>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</si>
  <si>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</si>
  <si>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</si>
  <si>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</si>
  <si>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</si>
  <si>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</si>
  <si>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</si>
  <si>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</si>
  <si>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</si>
  <si>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</si>
  <si>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</si>
  <si>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</si>
  <si>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</si>
  <si>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</si>
  <si>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</si>
  <si>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</si>
  <si>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</si>
  <si>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</si>
  <si>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</si>
  <si>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</si>
  <si>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</si>
  <si>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</si>
  <si>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</si>
  <si>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</si>
  <si>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</si>
  <si>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</si>
  <si>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</si>
  <si>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</si>
  <si>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</si>
  <si>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</si>
  <si>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</si>
  <si>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</si>
  <si>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</si>
  <si>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</si>
  <si>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</si>
  <si>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</si>
  <si>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</si>
  <si>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</si>
  <si>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</si>
  <si>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</si>
  <si>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</si>
  <si>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</si>
  <si>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</si>
  <si>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</si>
  <si>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</si>
  <si>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</si>
  <si>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</si>
  <si>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</si>
  <si>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</si>
  <si>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</si>
  <si>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</si>
  <si>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</si>
  <si>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</si>
  <si>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</si>
  <si>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</si>
  <si>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</si>
  <si>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</si>
  <si>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</si>
  <si>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</si>
  <si>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</si>
  <si>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</si>
  <si>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</si>
  <si>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</si>
  <si>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</si>
  <si>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</si>
  <si>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</si>
  <si>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</si>
  <si>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</si>
  <si>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</si>
  <si>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</si>
  <si>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</si>
  <si>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</si>
  <si>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</si>
  <si>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</si>
  <si>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</si>
  <si>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</si>
  <si>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</si>
  <si>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</si>
  <si>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</si>
  <si>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</si>
  <si>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</si>
  <si>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</si>
  <si>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</si>
  <si>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</si>
  <si>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</si>
  <si>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</si>
  <si>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</si>
  <si>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</si>
  <si>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</si>
  <si>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</si>
  <si>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</si>
  <si>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</si>
  <si>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</si>
  <si>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</si>
  <si>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</si>
  <si>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</si>
  <si>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</si>
  <si>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</si>
  <si>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</si>
  <si>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</si>
  <si>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</si>
  <si>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</si>
  <si>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</si>
  <si>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</si>
  <si>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</si>
  <si>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</si>
  <si>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</si>
  <si>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</si>
  <si>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</si>
  <si>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</si>
  <si>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</si>
  <si>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</si>
  <si>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</si>
  <si>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</si>
  <si>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</si>
  <si>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</si>
  <si>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</si>
  <si>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</si>
  <si>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</si>
  <si>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</si>
  <si>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</si>
  <si>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</si>
  <si>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</si>
  <si>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</si>
  <si>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</si>
  <si>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</si>
  <si>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</si>
  <si>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</si>
  <si>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</si>
  <si>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</si>
  <si>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</si>
  <si>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</si>
  <si>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</si>
  <si>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</si>
  <si>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</si>
  <si>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</si>
  <si>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</si>
  <si>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</si>
  <si>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</si>
  <si>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</si>
  <si>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</si>
  <si>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</si>
  <si>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</si>
  <si>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</si>
  <si>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</si>
  <si>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</si>
  <si>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</si>
  <si>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</si>
  <si>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</si>
  <si>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</si>
  <si>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</si>
  <si>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</si>
  <si>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</si>
  <si>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</si>
  <si>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</si>
  <si>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</si>
  <si>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</si>
  <si>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</si>
  <si>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</si>
  <si>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</si>
  <si>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</si>
  <si>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</si>
  <si>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</si>
  <si>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</si>
  <si>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</si>
  <si>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</si>
  <si>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</si>
  <si>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</si>
  <si>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</si>
  <si>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</si>
  <si>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</si>
  <si>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</si>
  <si>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</si>
  <si>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</si>
  <si>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</si>
  <si>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</si>
  <si>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</si>
  <si>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</si>
  <si>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</si>
  <si>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</si>
  <si>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</si>
  <si>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</si>
  <si>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</si>
  <si>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</si>
  <si>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</si>
  <si>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</si>
  <si>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</si>
  <si>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</si>
  <si>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</si>
  <si>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</si>
  <si>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</si>
  <si>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</si>
  <si>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</si>
  <si>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</si>
  <si>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</si>
  <si>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</si>
  <si>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</si>
  <si>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</si>
  <si>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</si>
  <si>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</si>
  <si>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</si>
  <si>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</si>
  <si>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</si>
  <si>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</si>
  <si>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</si>
  <si>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</si>
  <si>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</si>
  <si>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</si>
  <si>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</si>
  <si>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</si>
  <si>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</si>
  <si>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</si>
  <si>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</si>
  <si>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</si>
  <si>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</si>
  <si>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</si>
  <si>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</si>
  <si>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</si>
  <si>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</si>
  <si>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</si>
  <si>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</si>
  <si>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</si>
  <si>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</si>
  <si>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</si>
  <si>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</si>
  <si>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</si>
  <si>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</si>
  <si>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</si>
  <si>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</si>
  <si>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</si>
  <si>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</si>
  <si>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</si>
  <si>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</si>
  <si>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</si>
  <si>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</si>
  <si>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</si>
  <si>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</si>
  <si>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</si>
  <si>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</si>
  <si>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</si>
  <si>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</si>
  <si>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</si>
  <si>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</si>
  <si>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</si>
  <si>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</si>
  <si>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</si>
  <si>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</si>
  <si>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</si>
  <si>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</si>
  <si>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</si>
  <si>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</si>
  <si>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</si>
  <si>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</si>
  <si>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</si>
  <si>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</si>
  <si>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</si>
  <si>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</si>
  <si>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</si>
  <si>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</si>
  <si>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</si>
  <si>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</si>
  <si>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</si>
  <si>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</si>
  <si>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</si>
  <si>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</si>
  <si>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</si>
  <si>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</si>
  <si>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</si>
  <si>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</si>
  <si>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</si>
  <si>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</si>
  <si>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</si>
  <si>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</si>
  <si>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</si>
  <si>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</si>
  <si>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</si>
  <si>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</si>
  <si>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</si>
  <si>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</si>
  <si>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</si>
  <si>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</si>
  <si>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</si>
  <si>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</si>
  <si>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</si>
  <si>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</si>
  <si>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</si>
  <si>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</si>
  <si>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</si>
  <si>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</si>
  <si>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</si>
  <si>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</si>
  <si>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</si>
  <si>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</si>
  <si>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</si>
  <si>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</si>
  <si>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</si>
  <si>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</si>
  <si>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</si>
  <si>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</si>
  <si>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</si>
  <si>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</si>
  <si>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</si>
  <si>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</si>
  <si>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</si>
  <si>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</si>
  <si>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</si>
  <si>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</si>
  <si>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</si>
  <si>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</si>
  <si>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</si>
  <si>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</si>
  <si>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</si>
  <si>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</si>
  <si>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</si>
  <si>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</si>
  <si>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</si>
  <si>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</si>
  <si>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</si>
  <si>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</si>
  <si>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</si>
  <si>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</si>
  <si>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</si>
  <si>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</si>
  <si>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</si>
  <si>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</si>
  <si>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</si>
  <si>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</si>
  <si>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</si>
  <si>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</si>
  <si>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</si>
  <si>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</si>
  <si>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</si>
  <si>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</si>
  <si>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</si>
  <si>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</si>
  <si>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</si>
  <si>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</si>
  <si>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</si>
  <si>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</si>
  <si>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</si>
  <si>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</si>
  <si>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</si>
  <si>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</si>
  <si>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</si>
  <si>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</si>
  <si>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</si>
  <si>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</si>
  <si>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</si>
  <si>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</si>
  <si>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</si>
  <si>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</si>
  <si>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</si>
  <si>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</si>
  <si>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</si>
  <si>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</si>
  <si>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</si>
  <si>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</si>
  <si>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</si>
  <si>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</si>
  <si>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</si>
  <si>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</si>
  <si>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</si>
  <si>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</si>
  <si>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</si>
  <si>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</si>
  <si>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</si>
  <si>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</si>
  <si>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</si>
  <si>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</si>
  <si>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</si>
  <si>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</si>
  <si>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</si>
  <si>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</si>
  <si>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</si>
  <si>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</si>
  <si>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</si>
  <si>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</si>
  <si>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</si>
  <si>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</si>
  <si>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</si>
  <si>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</si>
  <si>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</si>
  <si>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</si>
  <si>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</si>
  <si>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</si>
  <si>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</si>
  <si>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</si>
  <si>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</si>
  <si>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</si>
  <si>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</si>
  <si>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</si>
  <si>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</si>
  <si>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</si>
  <si>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</si>
  <si>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</si>
  <si>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</si>
  <si>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</si>
  <si>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</si>
  <si>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</si>
  <si>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</si>
  <si>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</si>
  <si>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</si>
  <si>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</si>
  <si>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</si>
  <si>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</si>
  <si>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</si>
  <si>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</si>
  <si>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</si>
  <si>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</si>
  <si>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</si>
  <si>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</si>
  <si>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</si>
  <si>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</si>
  <si>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</si>
  <si>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</si>
  <si>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</si>
  <si>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</si>
  <si>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</si>
  <si>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</si>
  <si>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</si>
  <si>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</si>
  <si>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</si>
  <si>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</si>
  <si>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</si>
  <si>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</si>
  <si>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</si>
  <si>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</si>
  <si>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</si>
  <si>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</si>
  <si>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</si>
  <si>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</si>
  <si>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</si>
  <si>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</si>
  <si>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</si>
  <si>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</si>
  <si>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</si>
  <si>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</si>
  <si>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</si>
  <si>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</si>
  <si>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</si>
  <si>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</si>
  <si>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</si>
  <si>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</si>
  <si>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</si>
  <si>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</si>
  <si>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</si>
  <si>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</si>
  <si>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</si>
  <si>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</si>
  <si>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</si>
  <si>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</si>
  <si>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</si>
  <si>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</si>
  <si>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</si>
  <si>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</si>
  <si>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</si>
  <si>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</si>
  <si>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</si>
  <si>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</si>
  <si>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</si>
  <si>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</si>
  <si>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</si>
  <si>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</si>
  <si>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</si>
  <si>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</si>
  <si>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</si>
  <si>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</si>
  <si>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</si>
  <si>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</si>
  <si>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</si>
  <si>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</si>
  <si>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</si>
  <si>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</si>
  <si>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</si>
  <si>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</si>
  <si>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</si>
  <si>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</si>
  <si>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</si>
  <si>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</si>
  <si>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</si>
  <si>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</si>
  <si>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</si>
  <si>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</si>
  <si>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</si>
  <si>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</si>
  <si>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</si>
  <si>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</si>
  <si>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</si>
  <si>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</si>
  <si>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</si>
  <si>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</si>
  <si>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</si>
  <si>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</si>
  <si>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</si>
  <si>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</si>
  <si>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</si>
  <si>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</si>
  <si>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</si>
  <si>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</si>
  <si>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</si>
  <si>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</si>
  <si>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</si>
  <si>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</si>
  <si>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</si>
  <si>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</si>
  <si>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</si>
  <si>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</si>
  <si>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</si>
  <si>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</si>
  <si>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</si>
  <si>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</si>
  <si>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</si>
  <si>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</si>
  <si>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</si>
  <si>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</si>
  <si>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</si>
  <si>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</si>
  <si>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</si>
  <si>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</si>
  <si>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</si>
  <si>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</si>
  <si>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</si>
  <si>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</si>
  <si>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</si>
  <si>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</si>
  <si>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</si>
  <si>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</si>
  <si>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</si>
  <si>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</si>
  <si>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</si>
  <si>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</si>
  <si>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</si>
  <si>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</si>
  <si>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</si>
  <si>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</si>
  <si>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</si>
  <si>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</si>
  <si>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</si>
  <si>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</si>
  <si>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</si>
  <si>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</si>
  <si>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</si>
  <si>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</si>
  <si>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</si>
  <si>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</si>
  <si>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</si>
  <si>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</si>
  <si>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</si>
  <si>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</si>
  <si>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</si>
  <si>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</si>
  <si>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</si>
  <si>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</si>
  <si>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</si>
  <si>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</si>
  <si>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</si>
  <si>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</si>
  <si>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</si>
  <si>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</si>
  <si>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</si>
  <si>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</si>
  <si>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</si>
  <si>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</si>
  <si>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</si>
  <si>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</si>
  <si>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</si>
  <si>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</si>
  <si>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</si>
  <si>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</si>
  <si>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</si>
  <si>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</si>
  <si>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</si>
  <si>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</si>
  <si>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</si>
  <si>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</si>
  <si>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</si>
  <si>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</si>
  <si>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</si>
  <si>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</si>
  <si>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</si>
  <si>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</si>
  <si>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</si>
  <si>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</si>
  <si>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</si>
  <si>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</si>
  <si>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</si>
  <si>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</si>
  <si>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</si>
  <si>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</si>
  <si>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</si>
  <si>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</si>
  <si>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</si>
  <si>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</si>
  <si>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</si>
  <si>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</si>
  <si>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</si>
  <si>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</si>
  <si>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</si>
  <si>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</si>
  <si>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</si>
  <si>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</si>
  <si>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</si>
  <si>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</si>
  <si>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</si>
  <si>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</si>
  <si>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</si>
  <si>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</si>
  <si>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</si>
  <si>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</si>
  <si>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</si>
  <si>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</si>
  <si>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</si>
  <si>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</si>
  <si>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</si>
  <si>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</si>
  <si>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</si>
  <si>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</si>
  <si>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</si>
  <si>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</si>
  <si>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</si>
  <si>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</si>
  <si>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</si>
  <si>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</si>
  <si>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</si>
  <si>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</si>
  <si>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</si>
  <si>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</si>
  <si>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</si>
  <si>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</si>
  <si>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</si>
  <si>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</si>
  <si>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</si>
  <si>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</si>
  <si>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</si>
  <si>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</si>
  <si>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</si>
  <si>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</si>
  <si>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</si>
  <si>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</si>
  <si>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</si>
  <si>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</si>
  <si>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</si>
  <si>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</si>
  <si>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</si>
  <si>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</si>
  <si>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</si>
  <si>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</si>
  <si>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</si>
  <si>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</si>
  <si>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</si>
  <si>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</si>
  <si>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</si>
  <si>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</si>
  <si>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</si>
  <si>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</si>
  <si>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</si>
  <si>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</si>
  <si>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</si>
  <si>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</si>
  <si>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</si>
  <si>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</si>
  <si>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</si>
  <si>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</si>
  <si>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</si>
  <si>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</si>
  <si>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</si>
  <si>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</si>
  <si>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</si>
  <si>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</si>
  <si>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</si>
  <si>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</si>
  <si>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</si>
  <si>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</si>
  <si>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</si>
  <si>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</si>
  <si>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</si>
  <si>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</si>
  <si>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</si>
  <si>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</si>
  <si>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</si>
  <si>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</si>
  <si>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</si>
  <si>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</si>
  <si>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</si>
  <si>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</si>
  <si>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</si>
  <si>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</si>
  <si>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</si>
  <si>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</si>
  <si>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</si>
  <si>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</si>
  <si>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</si>
  <si>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</si>
  <si>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</si>
  <si>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</si>
  <si>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</si>
  <si>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</si>
  <si>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</si>
  <si>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</si>
  <si>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</si>
  <si>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</si>
  <si>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</si>
  <si>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</si>
  <si>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</si>
  <si>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</si>
  <si>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</si>
  <si>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</si>
  <si>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</si>
  <si>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</si>
  <si>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</si>
  <si>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</si>
  <si>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</si>
  <si>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</si>
  <si>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</si>
  <si>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</si>
  <si>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</si>
  <si>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</si>
  <si>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</si>
  <si>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</si>
  <si>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</si>
  <si>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</si>
  <si>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</si>
  <si>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</si>
  <si>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</si>
  <si>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</si>
  <si>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</si>
  <si>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</si>
  <si>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</si>
  <si>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</si>
  <si>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</si>
  <si>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</si>
  <si>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</si>
  <si>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</si>
  <si>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</si>
  <si>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</si>
  <si>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</si>
  <si>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</si>
  <si>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</si>
  <si>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</si>
  <si>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</si>
  <si>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</si>
  <si>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</si>
  <si>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</si>
  <si>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</si>
  <si>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</si>
  <si>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</si>
  <si>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</si>
  <si>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</si>
  <si>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</si>
  <si>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</si>
  <si>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</si>
  <si>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</si>
  <si>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</si>
  <si>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</si>
  <si>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</si>
  <si>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</si>
  <si>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</si>
  <si>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</si>
  <si>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</si>
  <si>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</si>
  <si>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</si>
  <si>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</si>
  <si>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</si>
  <si>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</si>
  <si>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</si>
  <si>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</si>
  <si>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</si>
  <si>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</si>
  <si>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</si>
  <si>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</si>
  <si>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</si>
  <si>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</si>
  <si>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</si>
  <si>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</si>
  <si>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</si>
  <si>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</si>
  <si>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</si>
  <si>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</si>
  <si>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</si>
  <si>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</si>
  <si>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</si>
  <si>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</si>
  <si>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</si>
  <si>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</si>
  <si>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</si>
  <si>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</si>
  <si>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</si>
  <si>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</si>
  <si>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</si>
  <si>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</si>
  <si>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</si>
  <si>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</si>
  <si>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</si>
  <si>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</si>
  <si>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</si>
  <si>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</si>
  <si>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</si>
  <si>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</si>
  <si>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</si>
  <si>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</si>
  <si>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</si>
  <si>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</si>
  <si>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</si>
  <si>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</si>
  <si>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</si>
  <si>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</si>
  <si>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</si>
  <si>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</si>
  <si>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</si>
  <si>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</si>
  <si>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</si>
  <si>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</si>
  <si>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</si>
  <si>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</si>
  <si>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</si>
  <si>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</si>
  <si>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</si>
  <si>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</si>
  <si>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</si>
  <si>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</si>
  <si>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</si>
  <si>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</si>
  <si>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</si>
  <si>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</si>
  <si>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</si>
  <si>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</si>
  <si>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</si>
  <si>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</si>
  <si>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</si>
  <si>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</si>
  <si>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</si>
  <si>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</si>
  <si>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</si>
  <si>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</si>
  <si>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</si>
  <si>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</si>
  <si>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</si>
  <si>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</si>
  <si>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</si>
  <si>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</si>
  <si>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</si>
  <si>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</si>
  <si>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</si>
  <si>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</si>
  <si>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</si>
  <si>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</si>
  <si>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</si>
  <si>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</si>
  <si>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</si>
  <si>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</si>
  <si>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</si>
  <si>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</si>
  <si>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</si>
  <si>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</si>
  <si>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</si>
  <si>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</si>
  <si>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</si>
  <si>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</si>
  <si>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</si>
  <si>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</si>
  <si>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</si>
  <si>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</si>
  <si>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</si>
  <si>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</si>
  <si>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</si>
  <si>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</si>
  <si>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</si>
  <si>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</si>
  <si>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</si>
  <si>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</si>
  <si>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</si>
  <si>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</si>
  <si>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</si>
  <si>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</si>
  <si>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</si>
  <si>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</si>
  <si>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</si>
  <si>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</si>
  <si>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</si>
  <si>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</si>
  <si>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</si>
  <si>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</si>
  <si>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</si>
  <si>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</si>
  <si>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</si>
  <si>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</si>
  <si>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</si>
  <si>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</si>
  <si>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</si>
  <si>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</si>
  <si>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</si>
  <si>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</si>
  <si>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</si>
  <si>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</si>
  <si>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</si>
  <si>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</si>
  <si>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</si>
  <si>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</si>
  <si>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</si>
  <si>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</si>
  <si>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</si>
  <si>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</si>
  <si>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</si>
  <si>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</si>
  <si>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</si>
  <si>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</si>
  <si>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</si>
  <si>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</si>
  <si>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</si>
  <si>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</si>
  <si>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</si>
  <si>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</si>
  <si>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</si>
  <si>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</si>
  <si>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</si>
  <si>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</si>
  <si>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</si>
  <si>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</si>
  <si>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</si>
  <si>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</si>
  <si>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</si>
  <si>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</si>
  <si>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</si>
  <si>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</si>
  <si>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</si>
  <si>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</si>
  <si>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</si>
  <si>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</si>
  <si>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</si>
  <si>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</si>
  <si>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</si>
  <si>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</si>
  <si>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</si>
  <si>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</si>
  <si>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</si>
  <si>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</si>
  <si>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</si>
  <si>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</si>
  <si>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</si>
  <si>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</si>
  <si>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</si>
  <si>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</si>
  <si>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</si>
  <si>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</si>
  <si>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</si>
  <si>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</si>
  <si>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</si>
  <si>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</si>
  <si>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</si>
  <si>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</si>
  <si>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</si>
  <si>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</si>
  <si>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</si>
  <si>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</si>
  <si>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</si>
  <si>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</si>
  <si>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</si>
  <si>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</si>
  <si>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</si>
  <si>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</si>
  <si>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</si>
  <si>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</si>
  <si>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</si>
  <si>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</si>
  <si>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</si>
  <si>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</si>
  <si>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</si>
  <si>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</si>
  <si>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</si>
  <si>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</si>
  <si>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</si>
  <si>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</si>
  <si>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</si>
  <si>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</si>
  <si>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</si>
  <si>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</si>
  <si>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</si>
  <si>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</si>
  <si>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</si>
  <si>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</si>
  <si>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</si>
  <si>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</si>
  <si>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</si>
  <si>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</si>
  <si>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</si>
  <si>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</si>
  <si>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</si>
  <si>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</si>
  <si>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</si>
  <si>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</si>
  <si>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</si>
  <si>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</si>
  <si>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</si>
  <si>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</si>
  <si>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</si>
  <si>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</si>
  <si>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</si>
  <si>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</si>
  <si>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</si>
  <si>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</si>
  <si>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</si>
  <si>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</si>
  <si>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</si>
  <si>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</si>
  <si>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</si>
  <si>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</si>
  <si>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</si>
  <si>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</si>
  <si>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</si>
  <si>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</si>
  <si>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</si>
  <si>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</si>
  <si>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</si>
  <si>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</si>
  <si>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</si>
  <si>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</si>
  <si>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</si>
  <si>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</si>
  <si>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</si>
  <si>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</si>
  <si>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</si>
  <si>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</si>
  <si>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</si>
  <si>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</si>
  <si>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</si>
  <si>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</si>
  <si>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</si>
  <si>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</si>
  <si>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</si>
  <si>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</si>
  <si>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</si>
  <si>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</si>
  <si>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</si>
  <si>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</si>
  <si>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</si>
  <si>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</si>
  <si>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</si>
  <si>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</si>
  <si>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</si>
  <si>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</si>
  <si>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</si>
  <si>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</si>
  <si>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</si>
  <si>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</si>
  <si>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</si>
  <si>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</si>
  <si>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</si>
  <si>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</si>
  <si>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</si>
  <si>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</si>
  <si>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</si>
  <si>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</si>
  <si>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</si>
  <si>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</si>
  <si>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</si>
  <si>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</si>
  <si>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</si>
  <si>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</si>
  <si>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</si>
  <si>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</si>
  <si>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</si>
  <si>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</si>
  <si>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</si>
  <si>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</si>
  <si>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</si>
  <si>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</si>
  <si>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</si>
  <si>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</si>
  <si>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</si>
  <si>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</si>
  <si>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</si>
  <si>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</si>
  <si>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</si>
  <si>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</si>
  <si>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</si>
  <si>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</si>
  <si>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</si>
  <si>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</si>
  <si>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</si>
  <si>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</si>
  <si>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</si>
  <si>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</si>
  <si>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</si>
  <si>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</si>
  <si>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</si>
  <si>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</si>
  <si>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</si>
  <si>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</si>
  <si>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</si>
  <si>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</si>
  <si>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</si>
  <si>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</si>
  <si>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</si>
  <si>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</si>
  <si>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Felipe / Valmir</t>
  </si>
  <si>
    <t>Troca de jacaré lado norte de ZEJ</t>
  </si>
  <si>
    <t>AG. TP Pronto para alinhamento de intervalo na oportunidade</t>
  </si>
  <si>
    <t>Solicitado MC1 às 08h27, MC29 às 08h28, autorizado na VIA às 09h30 / Em deslocamento das TP's na serra</t>
  </si>
  <si>
    <t>Solicitado MC1 às 07h15, MC29 às 07h43, autorizado na VIA às 08h35 / Em deslocamento das TP's na serra</t>
  </si>
  <si>
    <t>Alívio de Tensão - Condicionado à temperatura</t>
  </si>
  <si>
    <t>TP Pronto às 08h17 no km 101+700 em ZGP100 VIA2 para alívio de tensão / Sem oportunidade de intervalo até o momento</t>
  </si>
  <si>
    <t>Inspeção V98 CCP</t>
  </si>
  <si>
    <t>Solicitado MC1 às 07h29, negado pelo CCo às 08h53 / Ag. Retorno do CCO para nova oportunidade de FX para inspeção do V98</t>
  </si>
  <si>
    <t>Ainda não solicitou a MC1 / Sem mais informações até o momento</t>
  </si>
  <si>
    <t>ZKW-ZEV</t>
  </si>
  <si>
    <t>ZKWZEV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</si>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</sst>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A467" activePane="bottomRight" state="frozen"/>
      <selection pane="bottomRight" activeCell="BH601" sqref="BH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34.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1</v>
      </c>
      <c r="BI474" s="17"/>
      <c r="BJ474" s="283" t="s">
        <v>1607</v>
      </c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1608</v>
      </c>
      <c r="BK475" s="283" t="s">
        <v>1609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1609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1</v>
      </c>
      <c r="BI476" s="17"/>
      <c r="BJ476" s="283" t="s">
        <v>1610</v>
      </c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1</v>
      </c>
      <c r="BI477" s="17"/>
      <c r="BJ477" s="283" t="s">
        <v>1610</v>
      </c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1611</v>
      </c>
      <c r="W479" s="261" t="s">
        <v>1612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1</v>
      </c>
      <c r="BI479" s="17"/>
      <c r="BJ479" s="283" t="s">
        <v>1613</v>
      </c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1</v>
      </c>
      <c r="BI481" s="17"/>
      <c r="BJ481" s="283" t="s">
        <v>1613</v>
      </c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1614</v>
      </c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/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1615</v>
      </c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/>
      </c>
    </row>
    <row r="484" spans="1:72" ht="23.2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1616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/>
      <c r="AT484" s="242"/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/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1</v>
      </c>
      <c r="BI484" s="17"/>
      <c r="BJ484" s="283" t="s">
        <v>1617</v>
      </c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/>
      </c>
    </row>
    <row r="485" spans="1:72" ht="23.2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1618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/>
      <c r="AT485" s="242"/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/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1</v>
      </c>
      <c r="BI485" s="17"/>
      <c r="BJ485" s="283" t="s">
        <v>1619</v>
      </c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/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/>
      <c r="AS486" s="242"/>
      <c r="AT486" s="242"/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/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1</v>
      </c>
      <c r="BI486" s="17"/>
      <c r="BJ486" s="283" t="s">
        <v>1620</v>
      </c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/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0</v>
      </c>
      <c r="AZ487" s="14"/>
      <c r="BA487" s="72"/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1</v>
      </c>
      <c r="BI487" s="17"/>
      <c r="BJ487" s="283" t="s">
        <v>1613</v>
      </c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Produção e Intervalo</v>
      </c>
      <c r="BR487" s="19">
        <f>IF(OR(B487="",F487=""),"*",AY487/P487)</f>
        <v>0</v>
      </c>
      <c r="BS487" s="19">
        <f>IF(OR(B487="",F487=""),"*",BA487/Q487)</f>
        <v>0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2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0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90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79" t="str">
        <f>IF(BS_CONTROLE[[#This Row],[Local - Partida]]=0, "-", BS_CONTROLE[[#This Row],[Local - Partida]])</f>
        <v>-</v>
      </c>
      <c r="AL489" s="279" t="str">
        <f>IF(BS_CONTROLE[[#This Row],[Local - Encerramento]]=0, "-", BS_CONTROLE[[#This Row],[Local - Encerramento]])</f>
        <v>-</v>
      </c>
      <c r="AM489" s="279" t="str">
        <f>IF(BS_CONTROLE[[#This Row],[Entre - Estações]]=0, "-", BS_CONTROLE[[#This Row],[Entre - Estações]])</f>
        <v>-</v>
      </c>
      <c r="AN489" s="279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3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>V9846012</v>
      </c>
      <c r="B490" s="168">
        <v>46012</v>
      </c>
      <c r="C490" s="8"/>
      <c r="D490" s="52" t="s">
        <v>1378</v>
      </c>
      <c r="E490" s="292">
        <v>478</v>
      </c>
      <c r="F490" s="172" t="s">
        <v>338</v>
      </c>
      <c r="G490" s="9" t="str">
        <f>IF(D490="","*",VLOOKUP(F490,BS_ATIVIDADE[#All],3,FALSE))</f>
        <v>DETECÇÃO</v>
      </c>
      <c r="H490" s="143" t="s">
        <v>195</v>
      </c>
      <c r="I490" s="143" t="s">
        <v>220</v>
      </c>
      <c r="J490" s="38">
        <v>55</v>
      </c>
      <c r="K490" s="38">
        <v>102</v>
      </c>
      <c r="L490" s="84" t="s">
        <v>317</v>
      </c>
      <c r="M490" s="204" t="s">
        <v>1621</v>
      </c>
      <c r="N490" s="204" t="s">
        <v>1622</v>
      </c>
      <c r="O490" s="143">
        <v>0.33333333333333331</v>
      </c>
      <c r="P490" s="143">
        <v>4.1666666666666664E-2</v>
      </c>
      <c r="Q490" s="84">
        <v>60</v>
      </c>
      <c r="R490" s="10" t="str">
        <f>IFERROR(_xlfn.XLOOKUP(F490, BS_ATIVIDADE[ATIVIDADE],BS_ATIVIDADE[UNIDADE] ), "*")</f>
        <v>KM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90" s="81" t="str">
        <f>IFERROR(_xlfn.XLOOKUP(J490, BASE_MAPA!$D$2:$D$260, BASE_MAPA!$I$2:$I$260), "ERRO")</f>
        <v>ZKE</v>
      </c>
      <c r="V490" s="261" t="s">
        <v>958</v>
      </c>
      <c r="W490" s="173" t="s">
        <v>1618</v>
      </c>
      <c r="X490" s="52" t="s">
        <v>667</v>
      </c>
      <c r="Y490" s="158"/>
      <c r="Z490" s="158"/>
      <c r="AA490" s="144">
        <v>1</v>
      </c>
      <c r="AB490" s="71" t="s">
        <v>659</v>
      </c>
      <c r="AC490" s="71" t="s">
        <v>654</v>
      </c>
      <c r="AD490" s="173">
        <v>0.29166666666666669</v>
      </c>
      <c r="AE490" s="84" t="s">
        <v>317</v>
      </c>
      <c r="AF490" s="84" t="s">
        <v>317</v>
      </c>
      <c r="AG490" s="84" t="s">
        <v>317</v>
      </c>
      <c r="AH490" s="49"/>
      <c r="AI490" s="142" t="str">
        <f>IF(BS_CONTROLE[[#This Row],[Atividade]]=0, "-", BS_CONTROLE[[#This Row],[Atividade]])</f>
        <v>DETECÇÃO - RONDA 7 DIAS</v>
      </c>
      <c r="AJ490" s="9" t="str">
        <f>IF(D490="","*",VLOOKUP(AI490,BS_ATIVIDADE[#Data],3,FALSE))</f>
        <v>DETECÇÃO</v>
      </c>
      <c r="AK490" s="279" t="str">
        <f>IF(BS_CONTROLE[[#This Row],[Local - Partida]]=0, "-", BS_CONTROLE[[#This Row],[Local - Partida]])</f>
        <v>102ZKW2</v>
      </c>
      <c r="AL490" s="279" t="str">
        <f>IF(BS_CONTROLE[[#This Row],[Local - Encerramento]]=0, "-", BS_CONTROLE[[#This Row],[Local - Encerramento]])</f>
        <v>ZEV2</v>
      </c>
      <c r="AM490" s="279" t="str">
        <f>IF(BS_CONTROLE[[#This Row],[Entre - Estações]]=0, "-", BS_CONTROLE[[#This Row],[Entre - Estações]])</f>
        <v>ZKW-ZEV</v>
      </c>
      <c r="AN490" s="279" t="str">
        <f>IF(BS_CONTROLE[[#This Row],[SB]]=0, "-", BS_CONTROLE[[#This Row],[SB]])</f>
        <v>ZKWZEV</v>
      </c>
      <c r="AO490" s="259">
        <f>IF(BS_CONTROLE[[#This Row],[SUB]]=0, "-", BS_CONTROLE[[#This Row],[SUB]])</f>
        <v>55</v>
      </c>
      <c r="AP490" s="260">
        <f>IF(BS_CONTROLE[[#This Row],[KM - Inicio]]=0, "-", BS_CONTROLE[[#This Row],[KM - Inicio]])</f>
        <v>102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KM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90" s="11" t="str">
        <f>IFERROR(_xlfn.XLOOKUP(AO490, BASE_MAPA!$D$2:$D$260, BASE_MAPA!$I$2:$I$260), "ERRO")</f>
        <v>ZKE</v>
      </c>
      <c r="BF490" s="261" t="str">
        <f>IF(BS_CONTROLE[[#This Row],[Responsavel pelo boletim]]=0, "-", BS_CONTROLE[[#This Row],[Responsavel pelo boletim]])</f>
        <v>John / Andressa</v>
      </c>
      <c r="BG490" s="16"/>
      <c r="BH490" s="17"/>
      <c r="BI490" s="17"/>
      <c r="BJ490" s="283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>V8546012</v>
      </c>
      <c r="B491" s="168">
        <v>46012</v>
      </c>
      <c r="C491" s="8"/>
      <c r="D491" s="52" t="s">
        <v>512</v>
      </c>
      <c r="E491" s="292">
        <v>46</v>
      </c>
      <c r="F491" s="172" t="s">
        <v>421</v>
      </c>
      <c r="G491" s="9" t="str">
        <f>IF(D491="","*",VLOOKUP(F491,BS_ATIVIDADE[#All],3,FALSE))</f>
        <v>MECANIZAÇÃO - SOCADORA</v>
      </c>
      <c r="H491" s="173" t="s">
        <v>988</v>
      </c>
      <c r="I491" s="173" t="s">
        <v>956</v>
      </c>
      <c r="J491" s="217">
        <v>53</v>
      </c>
      <c r="K491" s="217">
        <v>114.3</v>
      </c>
      <c r="L491" s="217">
        <v>115</v>
      </c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1" s="173">
        <v>0.35416666666666669</v>
      </c>
      <c r="P491" s="173">
        <v>6.25E-2</v>
      </c>
      <c r="Q491" s="217">
        <v>700</v>
      </c>
      <c r="R491" s="10" t="str">
        <f>IFERROR(_xlfn.XLOOKUP(F491, BS_ATIVIDADE[ATIVIDADE],BS_ATIVIDADE[UNIDADE] ), "*")</f>
        <v>M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1" s="81" t="str">
        <f>IFERROR(_xlfn.XLOOKUP(J491, BASE_MAPA!$D$2:$D$260, BASE_MAPA!$I$2:$I$260), "ERRO")</f>
        <v>PAT-ZGM</v>
      </c>
      <c r="V491" s="198" t="s">
        <v>929</v>
      </c>
      <c r="W491" s="261" t="s">
        <v>1098</v>
      </c>
      <c r="X491" s="218" t="s">
        <v>667</v>
      </c>
      <c r="Y491" s="158"/>
      <c r="Z491" s="158"/>
      <c r="AA491" s="84">
        <v>1</v>
      </c>
      <c r="AB491" s="71" t="s">
        <v>659</v>
      </c>
      <c r="AC491" s="71" t="s">
        <v>654</v>
      </c>
      <c r="AD491" s="173">
        <v>0.33333333333333331</v>
      </c>
      <c r="AE491" s="84">
        <v>6235</v>
      </c>
      <c r="AF491" s="84">
        <v>6215</v>
      </c>
      <c r="AG491" s="84" t="s">
        <v>317</v>
      </c>
      <c r="AH491" s="49"/>
      <c r="AI491" s="142" t="str">
        <f>IF(BS_CONTROLE[[#This Row],[Atividade]]=0, "-", BS_CONTROLE[[#This Row],[Atividade]])</f>
        <v>MECANIZAÇÃO - SOCADORA</v>
      </c>
      <c r="AJ491" s="9" t="str">
        <f>IF(D491="","*",VLOOKUP(AI491,BS_ATIVIDADE[#Data],3,FALSE))</f>
        <v>MECANIZAÇÃO - SOCADORA</v>
      </c>
      <c r="AK491" s="279" t="str">
        <f>IF(BS_CONTROLE[[#This Row],[Local - Partida]]=0, "-", BS_CONTROLE[[#This Row],[Local - Partida]])</f>
        <v>109ZPT2</v>
      </c>
      <c r="AL491" s="279" t="str">
        <f>IF(BS_CONTROLE[[#This Row],[Local - Encerramento]]=0, "-", BS_CONTROLE[[#This Row],[Local - Encerramento]])</f>
        <v>ZPTZDR</v>
      </c>
      <c r="AM491" s="279" t="str">
        <f>IF(BS_CONTROLE[[#This Row],[Entre - Estações]]=0, "-", BS_CONTROLE[[#This Row],[Entre - Estações]])</f>
        <v>ZGM-109</v>
      </c>
      <c r="AN491" s="279" t="str">
        <f>IF(BS_CONTROLE[[#This Row],[SB]]=0, "-", BS_CONTROLE[[#This Row],[SB]])</f>
        <v>ZGM2</v>
      </c>
      <c r="AO491" s="259">
        <f>IF(BS_CONTROLE[[#This Row],[SUB]]=0, "-", BS_CONTROLE[[#This Row],[SUB]])</f>
        <v>53</v>
      </c>
      <c r="AP491" s="260">
        <f>IF(BS_CONTROLE[[#This Row],[KM - Inicio]]=0, "-", BS_CONTROLE[[#This Row],[KM - Inicio]])</f>
        <v>114.3</v>
      </c>
      <c r="AQ491" s="260">
        <f>IF(BS_CONTROLE[[#This Row],[KM - Fim]]=0, "-", BS_CONTROLE[[#This Row],[KM - Fim]])</f>
        <v>115</v>
      </c>
      <c r="AR491" s="242"/>
      <c r="AS491" s="242"/>
      <c r="AT491" s="242"/>
      <c r="AU491" s="242"/>
      <c r="AV491" s="242"/>
      <c r="AW491" s="242"/>
      <c r="AX491" s="39"/>
      <c r="AY491" s="12">
        <f>IF(D491="","*",IFERROR(IF(ISODD(COUNT(AS491:AX491)),"ERRO",SUM((AT491-AS491),(AV491-AU491),(AX491-AW491))),"ERRO"))</f>
        <v>0</v>
      </c>
      <c r="AZ491" s="14"/>
      <c r="BA491" s="72"/>
      <c r="BB491" s="10" t="str">
        <f>IFERROR(_xlfn.XLOOKUP(AI491, BS_ATIVIDADE[ATIVIDADE],BS_ATIVIDADE[UNIDADE] ), "*")</f>
        <v>M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1" s="11" t="str">
        <f>IFERROR(_xlfn.XLOOKUP(AO491, BASE_MAPA!$D$2:$D$260, BASE_MAPA!$I$2:$I$260), "ERRO")</f>
        <v>PAT-ZGM</v>
      </c>
      <c r="BF491" s="261" t="str">
        <f>IF(BS_CONTROLE[[#This Row],[Responsavel pelo boletim]]=0, "-", BS_CONTROLE[[#This Row],[Responsavel pelo boletim]])</f>
        <v>Saulo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Produção e Intervalo</v>
      </c>
      <c r="BR491" s="19">
        <f>IF(OR(B491="",F491=""),"*",AY491/P491)</f>
        <v>0</v>
      </c>
      <c r="BS491" s="19">
        <f>IF(OR(B491="",F491=""),"*",BA491/Q491)</f>
        <v>0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2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90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79" t="str">
        <f>IF(BS_CONTROLE[[#This Row],[Local - Partida]]=0, "-", BS_CONTROLE[[#This Row],[Local - Partida]])</f>
        <v>-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-</v>
      </c>
      <c r="AN492" s="279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173" t="s">
        <v>317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-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173" t="s">
        <v>317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-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1623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173" t="s">
        <v>317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-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173" t="s">
        <v>317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-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1624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/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1625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43"/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1626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43"/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1627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43"/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1628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43"/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1629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1630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220</v>
      </c>
      <c r="I512" s="143" t="s">
        <v>956</v>
      </c>
      <c r="J512" s="38">
        <v>55</v>
      </c>
      <c r="K512" s="38">
        <v>159</v>
      </c>
      <c r="L512" s="84" t="s">
        <v>317</v>
      </c>
      <c r="M512" s="204" t="s">
        <v>15</v>
      </c>
      <c r="N512" s="204" t="s">
        <v>957</v>
      </c>
      <c r="O512" s="143">
        <v>0.33333333333333331</v>
      </c>
      <c r="P512" s="143">
        <v>4.1666666666666664E-2</v>
      </c>
      <c r="Q512" s="84">
        <v>40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1631</v>
      </c>
      <c r="W512" s="173" t="s">
        <v>1632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ZEV2</v>
      </c>
      <c r="AL512" s="279" t="str">
        <f>IF(BS_CONTROLE[[#This Row],[Local - Encerramento]]=0, "-", BS_CONTROLE[[#This Row],[Local - Encerramento]])</f>
        <v>ZPTZDR</v>
      </c>
      <c r="AM512" s="279" t="str">
        <f>IF(BS_CONTROLE[[#This Row],[Entre - Estações]]=0, "-", BS_CONTROLE[[#This Row],[Entre - Estações]])</f>
        <v>ZEV-ZPT</v>
      </c>
      <c r="AN512" s="279" t="str">
        <f>IF(BS_CONTROLE[[#This Row],[SB]]=0, "-", BS_CONTROLE[[#This Row],[SB]])</f>
        <v>ZEVZPT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159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1633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1634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1635</v>
      </c>
      <c r="W515" s="173" t="s">
        <v>1636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W490 X491:Y491 V496:Y496 V500:Y500 W501:X505 W507:X508 X510 X516:Y518 V519:W519 X513:X515 X493:Y49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1:AD491 Z496 Z500 AA500:AD505 AA507:AD508 AA510 AD510 Z516:AD516 Z517 AA514:AD515 Z518:AD518 Z493 AA452:AD455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491 J500 J516:J51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491:Q491 O500:Q500 O516:Q51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20" operator="equal">
      <formula>"ERRO"</formula>
    </cfRule>
  </conditionalFormatting>
  <conditionalFormatting sqref="X4 Y1:Z157 Y159:Z474 Y483:Y484 Y481:Z483 Y487:Y489 Y492 Y490:Z491 Y498:Y499 Y500:Z500 Y520:Y551 Y501:Y515 Y516:Z519 Y493:Z497 Z475 Y475:Y481 Y485:Z487">
    <cfRule type="cellIs" dxfId="140" priority="18509" operator="equal">
      <formula>"OPORTUNIDADE"</formula>
    </cfRule>
  </conditionalFormatting>
  <conditionalFormatting sqref="AZ6:AZ523">
    <cfRule type="expression" dxfId="139" priority="18504">
      <formula>$BU6=1</formula>
    </cfRule>
  </conditionalFormatting>
  <conditionalFormatting sqref="BQ6:BQ600">
    <cfRule type="cellIs" dxfId="138" priority="18515" operator="equal">
      <formula>"Produção e Intervalo"</formula>
    </cfRule>
    <cfRule type="cellIs" dxfId="137" priority="18516" operator="equal">
      <formula>"Aderente"</formula>
    </cfRule>
    <cfRule type="cellIs" dxfId="136" priority="18517" operator="equal">
      <formula>"Intervalo"</formula>
    </cfRule>
    <cfRule type="cellIs" dxfId="135" priority="18518" operator="equal">
      <formula>"Produção"</formula>
    </cfRule>
    <cfRule type="cellIs" dxfId="134" priority="18519" operator="equal">
      <formula>"ERRO"</formula>
    </cfRule>
  </conditionalFormatting>
  <conditionalFormatting sqref="BR6:BS553">
    <cfRule type="cellIs" dxfId="133" priority="18497" operator="equal">
      <formula>"*"</formula>
    </cfRule>
    <cfRule type="cellIs" dxfId="132" priority="18498" operator="greaterThanOrEqual">
      <formula>1</formula>
    </cfRule>
    <cfRule type="cellIs" dxfId="131" priority="18499" operator="lessThan">
      <formula>1</formula>
    </cfRule>
  </conditionalFormatting>
  <conditionalFormatting sqref="X478 Y6:Z157 Y159:Z474 X480 X483 Y483:Y484 Y481:Z483 X488:X489 Y487:Y489 X492:Y492 Y490:Z491 X499 Y498:Y499 X506 Y500:Z500 X509 X511:X512 Y520:Y551 X517 Y501:Y515 X520:X523 Y516:Z519 Y493:Z497 Z475 Y475:Y481 Y485:Z487">
    <cfRule type="cellIs" dxfId="130" priority="18445" operator="equal">
      <formula>"NÃO"</formula>
    </cfRule>
    <cfRule type="cellIs" dxfId="129" priority="18446" operator="equal">
      <formula>"SIM"</formula>
    </cfRule>
  </conditionalFormatting>
  <conditionalFormatting sqref="X478 X480 X483 X488:X489 X492 X499 X506 X509 X511:X512 X517 X520:X523">
    <cfRule type="cellIs" dxfId="128" priority="18444" operator="equal">
      <formula>"OPORTUNIDADE"</formula>
    </cfRule>
  </conditionalFormatting>
  <conditionalFormatting sqref="Z476:Z480 Z487:Z489 Z483:Z484 Z492 Z496:Z499 Z517 Z501:Z515 Z519:Z523">
    <cfRule type="cellIs" dxfId="127" priority="18442" operator="equal">
      <formula>"NÃO"</formula>
    </cfRule>
    <cfRule type="cellIs" dxfId="126" priority="18443" operator="equal">
      <formula>"SIM"</formula>
    </cfRule>
  </conditionalFormatting>
  <conditionalFormatting sqref="Z476:Z480 Z487:Z489 Z483:Z484 Z492 Z496:Z499 Z517 Z501:Z515 Z519:Z523">
    <cfRule type="cellIs" dxfId="125" priority="18441" operator="equal">
      <formula>"OPORTUNIDADE"</formula>
    </cfRule>
  </conditionalFormatting>
  <conditionalFormatting sqref="Y1048576">
    <cfRule type="cellIs" dxfId="124" priority="18326" operator="equal">
      <formula>"OPORTUNIDADE"</formula>
    </cfRule>
  </conditionalFormatting>
  <conditionalFormatting sqref="Y1048576">
    <cfRule type="cellIs" dxfId="123" priority="18324" operator="equal">
      <formula>"NÃO"</formula>
    </cfRule>
    <cfRule type="cellIs" dxfId="122" priority="18325" operator="equal">
      <formula>"SIM"</formula>
    </cfRule>
  </conditionalFormatting>
  <conditionalFormatting sqref="Z524:Z549">
    <cfRule type="cellIs" dxfId="121" priority="18061" operator="equal">
      <formula>"OPORTUNIDADE"</formula>
    </cfRule>
  </conditionalFormatting>
  <conditionalFormatting sqref="Z524:Z549">
    <cfRule type="cellIs" dxfId="120" priority="18059" operator="equal">
      <formula>"NÃO"</formula>
    </cfRule>
    <cfRule type="cellIs" dxfId="119" priority="18060" operator="equal">
      <formula>"SIM"</formula>
    </cfRule>
  </conditionalFormatting>
  <conditionalFormatting sqref="X550">
    <cfRule type="cellIs" dxfId="118" priority="18047" operator="equal">
      <formula>"NÃO"</formula>
    </cfRule>
    <cfRule type="cellIs" dxfId="117" priority="18048" operator="equal">
      <formula>"SIM"</formula>
    </cfRule>
  </conditionalFormatting>
  <conditionalFormatting sqref="X550">
    <cfRule type="cellIs" dxfId="116" priority="18046" operator="equal">
      <formula>"OPORTUNIDADE"</formula>
    </cfRule>
  </conditionalFormatting>
  <conditionalFormatting sqref="Z550">
    <cfRule type="cellIs" dxfId="115" priority="18044" operator="equal">
      <formula>"NÃO"</formula>
    </cfRule>
    <cfRule type="cellIs" dxfId="114" priority="18045" operator="equal">
      <formula>"SIM"</formula>
    </cfRule>
  </conditionalFormatting>
  <conditionalFormatting sqref="Z550">
    <cfRule type="cellIs" dxfId="113" priority="18043" operator="equal">
      <formula>"OPORTUNIDADE"</formula>
    </cfRule>
  </conditionalFormatting>
  <conditionalFormatting sqref="BI550">
    <cfRule type="iconSet" priority="1805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53">
      <iconSet showValue="0">
        <cfvo type="percent" val="0"/>
        <cfvo type="num" val="1"/>
        <cfvo type="num" val="1" gte="0"/>
      </iconSet>
    </cfRule>
    <cfRule type="iconSet" priority="1805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5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63">
      <formula>$BU493=1</formula>
    </cfRule>
  </conditionalFormatting>
  <conditionalFormatting sqref="AZ526:AZ550">
    <cfRule type="expression" dxfId="111" priority="18823">
      <formula>$BU498=1</formula>
    </cfRule>
  </conditionalFormatting>
  <conditionalFormatting sqref="BI524:BI549">
    <cfRule type="iconSet" priority="1882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26">
      <iconSet showValue="0">
        <cfvo type="percent" val="0"/>
        <cfvo type="num" val="1"/>
        <cfvo type="num" val="1" gte="0"/>
      </iconSet>
    </cfRule>
    <cfRule type="iconSet" priority="1882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3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3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58" operator="equal">
      <formula>"*"</formula>
    </cfRule>
    <cfRule type="cellIs" dxfId="109" priority="13459" operator="greaterThanOrEqual">
      <formula>1</formula>
    </cfRule>
    <cfRule type="cellIs" dxfId="108" priority="13460" operator="lessThan">
      <formula>1</formula>
    </cfRule>
  </conditionalFormatting>
  <conditionalFormatting sqref="BJ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6" operator="equal">
      <formula>"OPORTUNIDADE"</formula>
    </cfRule>
  </conditionalFormatting>
  <conditionalFormatting sqref="Y158">
    <cfRule type="cellIs" dxfId="106" priority="94" operator="equal">
      <formula>"NÃO"</formula>
    </cfRule>
    <cfRule type="cellIs" dxfId="105" priority="95" operator="equal">
      <formula>"SIM"</formula>
    </cfRule>
  </conditionalFormatting>
  <conditionalFormatting sqref="BO6:BO208 BO210:BO600">
    <cfRule type="iconSet" priority="1889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9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96">
      <iconSet showValue="0">
        <cfvo type="percent" val="0"/>
        <cfvo type="num" val="1"/>
        <cfvo type="num" val="1" gte="0"/>
      </iconSet>
    </cfRule>
    <cfRule type="iconSet" priority="1889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0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4 BK335:BK448 BK456:BK457 BK476:BK600">
    <cfRule type="iconSet" priority="1890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4 BP461:BP462 BP453:BP455 BP464 BP466:BP470 BP476:BP600">
    <cfRule type="iconSet" priority="1892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1637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1638</v>
      </c>
      <c r="C4" s="329" t="s">
        <v>1639</v>
      </c>
      <c r="D4" s="329" t="s">
        <v>1640</v>
      </c>
      <c r="E4" s="329" t="s">
        <v>1641</v>
      </c>
      <c r="F4" s="329" t="s">
        <v>8</v>
      </c>
      <c r="G4" s="329" t="s">
        <v>1642</v>
      </c>
    </row>
    <row r="5" spans="2:8">
      <c r="B5" s="332" t="s">
        <v>1153</v>
      </c>
      <c r="C5" s="332">
        <v>314978</v>
      </c>
      <c r="D5" s="332" t="s">
        <v>1643</v>
      </c>
      <c r="E5" s="332" t="s">
        <v>541</v>
      </c>
      <c r="F5" s="332" t="s">
        <v>101</v>
      </c>
      <c r="G5" s="333">
        <v>46143</v>
      </c>
    </row>
    <row r="6" spans="2:8">
      <c r="B6" s="332" t="s">
        <v>1644</v>
      </c>
      <c r="C6" s="332">
        <v>256790</v>
      </c>
      <c r="D6" s="332" t="s">
        <v>1645</v>
      </c>
      <c r="E6" s="332" t="s">
        <v>541</v>
      </c>
      <c r="F6" s="332" t="s">
        <v>1646</v>
      </c>
      <c r="G6" s="333">
        <v>45992</v>
      </c>
    </row>
    <row r="7" spans="2:8">
      <c r="B7" s="332" t="s">
        <v>1647</v>
      </c>
      <c r="C7" s="332">
        <v>265193</v>
      </c>
      <c r="D7" s="332" t="s">
        <v>1648</v>
      </c>
      <c r="E7" s="332" t="s">
        <v>542</v>
      </c>
      <c r="F7" s="332" t="s">
        <v>1500</v>
      </c>
      <c r="G7" s="332" t="s">
        <v>1649</v>
      </c>
    </row>
    <row r="8" spans="2:8">
      <c r="B8" s="332" t="s">
        <v>1650</v>
      </c>
      <c r="C8" s="332">
        <v>293716</v>
      </c>
      <c r="D8" s="332" t="s">
        <v>1651</v>
      </c>
      <c r="E8" s="332" t="s">
        <v>542</v>
      </c>
      <c r="F8" s="332" t="s">
        <v>1500</v>
      </c>
      <c r="G8" s="333">
        <v>46204</v>
      </c>
    </row>
    <row r="9" spans="2:8">
      <c r="B9" s="332" t="s">
        <v>1652</v>
      </c>
      <c r="C9" s="332">
        <v>257258</v>
      </c>
      <c r="D9" s="332" t="s">
        <v>1653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1654</v>
      </c>
      <c r="C10" s="332">
        <v>371147</v>
      </c>
      <c r="D10" s="332" t="s">
        <v>1655</v>
      </c>
      <c r="E10" s="332" t="s">
        <v>543</v>
      </c>
      <c r="F10" s="332" t="s">
        <v>144</v>
      </c>
      <c r="G10" s="332" t="s">
        <v>1649</v>
      </c>
    </row>
    <row r="11" spans="2:8">
      <c r="B11" s="332" t="s">
        <v>1656</v>
      </c>
      <c r="C11" s="332">
        <v>259230</v>
      </c>
      <c r="D11" s="332" t="s">
        <v>1657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1658</v>
      </c>
      <c r="C12" s="332">
        <v>370705</v>
      </c>
      <c r="D12" s="332"/>
      <c r="E12" s="332" t="s">
        <v>543</v>
      </c>
      <c r="F12" s="332" t="s">
        <v>144</v>
      </c>
      <c r="G12" s="332" t="s">
        <v>1649</v>
      </c>
    </row>
    <row r="13" spans="2:8">
      <c r="B13" s="332" t="s">
        <v>1659</v>
      </c>
      <c r="C13" s="332">
        <v>258542</v>
      </c>
      <c r="D13" s="332" t="s">
        <v>1660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1661</v>
      </c>
      <c r="C14" s="332">
        <v>257050</v>
      </c>
      <c r="D14" s="332" t="s">
        <v>1662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1663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1664</v>
      </c>
      <c r="E3" s="324" t="s">
        <v>1665</v>
      </c>
      <c r="F3" s="324" t="s">
        <v>1666</v>
      </c>
      <c r="G3" s="329" t="s">
        <v>1667</v>
      </c>
      <c r="H3" s="324" t="s">
        <v>1668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1669</v>
      </c>
      <c r="H4" s="327"/>
    </row>
    <row r="5" spans="3:8" ht="29.25">
      <c r="C5" s="325" t="s">
        <v>541</v>
      </c>
      <c r="D5" s="325" t="s">
        <v>1670</v>
      </c>
      <c r="E5" s="326">
        <v>46000</v>
      </c>
      <c r="F5" s="325">
        <v>9000</v>
      </c>
      <c r="G5" s="330" t="s">
        <v>1671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1672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1673</v>
      </c>
      <c r="G7" s="331" t="s">
        <v>1674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1675</v>
      </c>
      <c r="G8" s="330" t="s">
        <v>1676</v>
      </c>
      <c r="H8" s="325" t="s">
        <v>1677</v>
      </c>
    </row>
    <row r="9" spans="3:8">
      <c r="C9" s="325" t="s">
        <v>463</v>
      </c>
      <c r="D9" s="325" t="s">
        <v>1678</v>
      </c>
      <c r="E9" s="326">
        <v>45993</v>
      </c>
      <c r="F9" s="325">
        <v>12000</v>
      </c>
      <c r="G9" s="330" t="s">
        <v>1679</v>
      </c>
      <c r="H9" s="325"/>
    </row>
    <row r="10" spans="3:8" ht="29.25">
      <c r="C10" s="325" t="s">
        <v>463</v>
      </c>
      <c r="D10" s="325" t="s">
        <v>1680</v>
      </c>
      <c r="E10" s="326">
        <v>45993</v>
      </c>
      <c r="F10" s="325">
        <v>9000</v>
      </c>
      <c r="G10" s="330" t="s">
        <v>1681</v>
      </c>
      <c r="H10" s="325"/>
    </row>
    <row r="11" spans="3:8" ht="29.25">
      <c r="C11" s="325" t="s">
        <v>463</v>
      </c>
      <c r="D11" s="325" t="s">
        <v>1682</v>
      </c>
      <c r="E11" s="326">
        <v>45993</v>
      </c>
      <c r="F11" s="325">
        <v>10000</v>
      </c>
      <c r="G11" s="330" t="s">
        <v>1681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1683</v>
      </c>
      <c r="H12" s="325" t="s">
        <v>1684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A484" sqref="A484:U48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1685</v>
      </c>
      <c r="W1" s="397"/>
      <c r="X1" s="397"/>
      <c r="Y1" s="104"/>
    </row>
    <row r="2" spans="1:25" s="101" customFormat="1" ht="11.25" customHeight="1">
      <c r="A2" s="105" t="s">
        <v>1686</v>
      </c>
      <c r="B2" s="105" t="s">
        <v>1687</v>
      </c>
      <c r="C2" s="105" t="s">
        <v>313</v>
      </c>
      <c r="D2" s="106" t="s">
        <v>874</v>
      </c>
      <c r="E2" s="106" t="s">
        <v>875</v>
      </c>
      <c r="F2" s="106" t="s">
        <v>1688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1689</v>
      </c>
      <c r="U2" s="108" t="s">
        <v>877</v>
      </c>
      <c r="V2" s="103">
        <f ca="1">TODAY()-1</f>
        <v>46010</v>
      </c>
      <c r="W2" s="103">
        <f ca="1">V2-1</f>
        <v>46009</v>
      </c>
      <c r="X2" s="103">
        <f ca="1">W2-1</f>
        <v>46008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2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1430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944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30</v>
      </c>
      <c r="W8" s="112">
        <f ca="1">_xlfn.XLOOKUP(G8&amp;$W$2,BS_CONTROLE[CHAVE],BS_CONTROLE[Quantidade_11],"-")</f>
        <v>40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1500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1700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2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1430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944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30</v>
      </c>
      <c r="W33" s="112">
        <f ca="1">_xlfn.XLOOKUP(G33&amp;$W$2,BS_CONTROLE[CHAVE],BS_CONTROLE[Quantidade_11],"-")</f>
        <v>40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15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2380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24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720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0.56000000000000005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1500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1700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2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1430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944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40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15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12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720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1500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1700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1430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944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30</v>
      </c>
      <c r="W81" s="112">
        <f ca="1">_xlfn.XLOOKUP(G81&amp;$W$2,BS_CONTROLE[CHAVE],BS_CONTROLE[Quantidade_11],"-")</f>
        <v>40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15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720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1500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1700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1430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30</v>
      </c>
      <c r="W107" s="112">
        <f ca="1">_xlfn.XLOOKUP(G107&amp;$W$2,BS_CONTROLE[CHAVE],BS_CONTROLE[Quantidade_11],"-")</f>
        <v>40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944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15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2380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24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0.56000000000000005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1500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1700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30</v>
      </c>
      <c r="W130" s="112">
        <f ca="1">_xlfn.XLOOKUP(G130&amp;$W$2,BS_CONTROLE[CHAVE],BS_CONTROLE[Quantidade_11],"-")</f>
        <v>40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944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15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720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1500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1700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1500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1700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2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1430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30</v>
      </c>
      <c r="W159" s="112">
        <f ca="1">_xlfn.XLOOKUP(G159&amp;$W$2,BS_CONTROLE[CHAVE],BS_CONTROLE[Quantidade_11],"-")</f>
        <v>40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944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15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720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1500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1700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1430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30</v>
      </c>
      <c r="W188" s="112">
        <f ca="1">_xlfn.XLOOKUP(G188&amp;$W$2,BS_CONTROLE[CHAVE],BS_CONTROLE[Quantidade_11],"-")</f>
        <v>40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944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15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0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720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1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1500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1700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2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1430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30</v>
      </c>
      <c r="W219" s="112">
        <f ca="1">_xlfn.XLOOKUP(G219&amp;$W$2,BS_CONTROLE[CHAVE],BS_CONTROLE[Quantidade_11],"-")</f>
        <v>40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15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15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2380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720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1500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1700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24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2380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0.56000000000000005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1500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1700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2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1430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30</v>
      </c>
      <c r="W252" s="112">
        <f ca="1">_xlfn.XLOOKUP(G252&amp;$W$2,BS_CONTROLE[CHAVE],BS_CONTROLE[Quantidade_11],"-")</f>
        <v>40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944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15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15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0.56000000000000005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720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1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1500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1700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30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1430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30</v>
      </c>
      <c r="W282" s="112">
        <f ca="1">_xlfn.XLOOKUP(G282&amp;$W$2,BS_CONTROLE[CHAVE],BS_CONTROLE[Quantidade_11],"-")</f>
        <v>40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944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15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15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944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1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30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1500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1700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30</v>
      </c>
      <c r="W310" s="112">
        <f ca="1">_xlfn.XLOOKUP(G310&amp;$W$2,BS_CONTROLE[CHAVE],BS_CONTROLE[Quantidade_11],"-")</f>
        <v>40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944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15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944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720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1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1500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1700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1500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1700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1430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30</v>
      </c>
      <c r="W336" s="112">
        <f ca="1">_xlfn.XLOOKUP(G336&amp;$W$2,BS_CONTROLE[CHAVE],BS_CONTROLE[Quantidade_11],"-")</f>
        <v>40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944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15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2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720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1500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1700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50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1430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30</v>
      </c>
      <c r="W363" s="112">
        <f ca="1">_xlfn.XLOOKUP(G363&amp;$W$2,BS_CONTROLE[CHAVE],BS_CONTROLE[Quantidade_11],"-")</f>
        <v>40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944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15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2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12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1500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1700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2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1430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30</v>
      </c>
      <c r="W392" s="112">
        <f ca="1">_xlfn.XLOOKUP(G392&amp;$W$2,BS_CONTROLE[CHAVE],BS_CONTROLE[Quantidade_11],"-")</f>
        <v>40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944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15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>
        <f ca="1">_xlfn.XLOOKUP(G395&amp;$W$2,BS_CONTROLE[CHAVE],BS_CONTROLE[Quantidade_11],"-")</f>
        <v>0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0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1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0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2380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0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24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0.56000000000000005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1500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1700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30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12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2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1430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30</v>
      </c>
      <c r="W415" s="112">
        <f ca="1">_xlfn.XLOOKUP(G415&amp;$W$2,BS_CONTROLE[CHAVE],BS_CONTROLE[Quantidade_11],"-")</f>
        <v>40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944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15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>
        <f ca="1">_xlfn.XLOOKUP(G418&amp;$W$2,BS_CONTROLE[CHAVE],BS_CONTROLE[Quantidade_11],"-")</f>
        <v>0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944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50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720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1500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1700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1430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30</v>
      </c>
      <c r="W447" s="112">
        <f ca="1">_xlfn.XLOOKUP(G447&amp;$W$2,BS_CONTROLE[CHAVE],BS_CONTROLE[Quantidade_11],"-")</f>
        <v>40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15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2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944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>
        <f ca="1">_xlfn.XLOOKUP(G452&amp;$W$2,BS_CONTROLE[CHAVE],BS_CONTROLE[Quantidade_11],"-")</f>
        <v>0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>
        <f ca="1">_xlfn.XLOOKUP(G453&amp;$W$2,BS_CONTROLE[CHAVE],BS_CONTROLE[Quantidade_11],"-")</f>
        <v>0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>
        <f ca="1">_xlfn.XLOOKUP(G456&amp;$V$2,BS_CONTROLE[CHAVE],BS_CONTROLE[Quantidade_11],"-")</f>
        <v>0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1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0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2380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0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24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0.56000000000000005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1500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1700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40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720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>
        <f ca="1">_xlfn.XLOOKUP(G468&amp;$V$2,BS_CONTROLE[CHAVE],BS_CONTROLE[Quantidade_11],"-")</f>
        <v>1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>
        <f ca="1">_xlfn.XLOOKUP(G469&amp;$W$2,BS_CONTROLE[CHAVE],BS_CONTROLE[Quantidade_11],"-")</f>
        <v>0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30</v>
      </c>
      <c r="W472" s="112">
        <f ca="1">_xlfn.XLOOKUP(G472&amp;$W$2,BS_CONTROLE[CHAVE],BS_CONTROLE[Quantidade_11],"-")</f>
        <v>40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944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720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30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1500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1700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>
        <f ca="1">_xlfn.XLOOKUP(G485&amp;$W$2,BS_CONTROLE[CHAVE],BS_CONTROLE[Quantidade_11],"-")</f>
        <v>0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7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ZKE-ZEV</v>
      </c>
      <c r="F488" s="110">
        <f>IF(SP_SUL!B490="","*",SP_SUL!B490)</f>
        <v>46012</v>
      </c>
      <c r="G488" s="110" t="str">
        <f>IF(SP_SUL!D490="","*",SP_SUL!D490)</f>
        <v>V98</v>
      </c>
      <c r="H488" s="110" t="str">
        <f>IF(SP_SUL!F490="","*",SP_SUL!F490)</f>
        <v>DETECÇÃO - RONDA 7 DIAS</v>
      </c>
      <c r="I488" s="110" t="str">
        <f>IF(SP_SUL!H490="","*",SP_SUL!H490)</f>
        <v>102ZKW2</v>
      </c>
      <c r="J488" s="110" t="str">
        <f>IF(SP_SUL!I490="","*",SP_SUL!I490)</f>
        <v>ZEV2</v>
      </c>
      <c r="K488" s="110" t="str">
        <f>IF(SP_SUL!M490="","*",SP_SUL!M490)</f>
        <v>ZKW-ZEV</v>
      </c>
      <c r="L488" s="337" t="str">
        <f>IF(SP_SUL!N490="","*",SP_SUL!N490)</f>
        <v>ZKWZEV</v>
      </c>
      <c r="M488" s="111">
        <f>IF(SP_SUL!J490="","*",SP_SUL!J490)</f>
        <v>55</v>
      </c>
      <c r="N488" s="270">
        <f>IF(SP_SUL!K490="","*",SP_SUL!K490)</f>
        <v>102</v>
      </c>
      <c r="O488" s="270" t="str">
        <f>IF(SP_SUL!L490="","*",SP_SUL!L490)</f>
        <v>-</v>
      </c>
      <c r="P488" s="111"/>
      <c r="Q488" s="128">
        <f>IF(SP_SUL!O490="","*",SP_SUL!O490)</f>
        <v>0.33333333333333331</v>
      </c>
      <c r="R488" s="128">
        <f>IF(SP_SUL!P490="","*",SP_SUL!P490)</f>
        <v>4.1666666666666664E-2</v>
      </c>
      <c r="S488" s="110" t="str">
        <f>IF(SP_SUL!Q490="","*",CONCATENATE(SP_SUL!Q490," ",SP_SUL!R490))</f>
        <v>60 KM</v>
      </c>
      <c r="T488" s="110" t="str">
        <f>IF(SP_SUL!V490="","*",SP_SUL!V490)</f>
        <v>John / Andressa</v>
      </c>
      <c r="U488" s="110" t="str">
        <f>IF(SP_SUL!W490="","*",SP_SUL!W490)</f>
        <v>Inspeção V98 CCP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>
        <f ca="1">_xlfn.XLOOKUP(G488&amp;$X$2,BS_CONTROLE[CHAVE],BS_CONTROLE[Quantidade_11],"-")</f>
        <v>30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Oportunidade</v>
      </c>
      <c r="C489" s="109" t="str">
        <f>IF(SP_SUL!Z491="","*",SP_SUL!Z491)</f>
        <v>*</v>
      </c>
      <c r="D489" s="110" t="str">
        <f>IF(SP_SUL!S491="","*",SP_SUL!S491)</f>
        <v>SP SUL</v>
      </c>
      <c r="E489" s="110" t="str">
        <f>IF(SP_SUL!T491="","*",SP_SUL!T491)</f>
        <v>ZPT-ZPG</v>
      </c>
      <c r="F489" s="110">
        <f>IF(SP_SUL!B491="","*",SP_SUL!B491)</f>
        <v>46012</v>
      </c>
      <c r="G489" s="110" t="str">
        <f>IF(SP_SUL!D491="","*",SP_SUL!D491)</f>
        <v>V85</v>
      </c>
      <c r="H489" s="110" t="str">
        <f>IF(SP_SUL!F491="","*",SP_SUL!F491)</f>
        <v>MECANIZAÇÃO - SOCADORA</v>
      </c>
      <c r="I489" s="110" t="str">
        <f>IF(SP_SUL!H491="","*",SP_SUL!H491)</f>
        <v>109ZPT2</v>
      </c>
      <c r="J489" s="110" t="str">
        <f>IF(SP_SUL!I491="","*",SP_SUL!I491)</f>
        <v>ZPTZDR</v>
      </c>
      <c r="K489" s="110" t="str">
        <f>IF(SP_SUL!M491="","*",SP_SUL!M491)</f>
        <v>ZGM-109</v>
      </c>
      <c r="L489" s="337" t="str">
        <f>IF(SP_SUL!N491="","*",SP_SUL!N491)</f>
        <v>ZGM2</v>
      </c>
      <c r="M489" s="111">
        <f>IF(SP_SUL!J491="","*",SP_SUL!J491)</f>
        <v>53</v>
      </c>
      <c r="N489" s="270">
        <f>IF(SP_SUL!K491="","*",SP_SUL!K491)</f>
        <v>114.3</v>
      </c>
      <c r="O489" s="270">
        <f>IF(SP_SUL!L491="","*",SP_SUL!L491)</f>
        <v>115</v>
      </c>
      <c r="P489" s="111"/>
      <c r="Q489" s="128">
        <f>IF(SP_SUL!O491="","*",SP_SUL!O491)</f>
        <v>0.35416666666666669</v>
      </c>
      <c r="R489" s="128">
        <f>IF(SP_SUL!P491="","*",SP_SUL!P491)</f>
        <v>6.25E-2</v>
      </c>
      <c r="S489" s="110" t="str">
        <f>IF(SP_SUL!Q491="","*",CONCATENATE(SP_SUL!Q491," ",SP_SUL!R491))</f>
        <v>700 M</v>
      </c>
      <c r="T489" s="110" t="str">
        <f>IF(SP_SUL!V491="","*",SP_SUL!V491)</f>
        <v>Saulo</v>
      </c>
      <c r="U489" s="110" t="str">
        <f>IF(SP_SUL!W491="","*",SP_SUL!W491)</f>
        <v>Serviços de socaria mecanizada</v>
      </c>
      <c r="V489" s="112">
        <f ca="1">_xlfn.XLOOKUP(G489&amp;$V$2,BS_CONTROLE[CHAVE],BS_CONTROLE[Quantidade_11],"-")</f>
        <v>1500</v>
      </c>
      <c r="W489" s="112">
        <f ca="1">_xlfn.XLOOKUP(G489&amp;$W$2,BS_CONTROLE[CHAVE],BS_CONTROLE[Quantidade_11],"-")</f>
        <v>0</v>
      </c>
      <c r="X489" s="112">
        <f ca="1">_xlfn.XLOOKUP(G489&amp;$X$2,BS_CONTROLE[CHAVE],BS_CONTROLE[Quantidade_11],"-")</f>
        <v>1700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7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1430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-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30</v>
      </c>
      <c r="W492" s="112">
        <f ca="1">_xlfn.XLOOKUP(G492&amp;$W$2,BS_CONTROLE[CHAVE],BS_CONTROLE[Quantidade_11],"-")</f>
        <v>40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-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944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2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-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-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*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*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*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*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*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1690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  <filterColumn colId="6">
      <filters>
        <filter val="V85"/>
        <filter val="V98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427" sqref="A42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1691</v>
      </c>
      <c r="D5" s="399"/>
      <c r="E5" s="399"/>
      <c r="F5" s="399"/>
      <c r="G5" s="399"/>
      <c r="H5" s="399"/>
      <c r="I5" s="399"/>
      <c r="J5" s="400"/>
      <c r="K5" s="401" t="s">
        <v>1692</v>
      </c>
      <c r="L5" s="402"/>
      <c r="M5" s="402"/>
      <c r="N5" s="402"/>
      <c r="O5" s="403" t="s">
        <v>1693</v>
      </c>
      <c r="P5" s="404"/>
      <c r="Q5" s="405"/>
    </row>
    <row r="6" spans="1:17" s="94" customFormat="1" ht="15.75" customHeight="1">
      <c r="A6" s="88" t="s">
        <v>1688</v>
      </c>
      <c r="B6" s="95" t="s">
        <v>1687</v>
      </c>
      <c r="C6" s="96" t="s">
        <v>874</v>
      </c>
      <c r="D6" s="97" t="s">
        <v>875</v>
      </c>
      <c r="E6" s="96" t="s">
        <v>1694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1695</v>
      </c>
      <c r="M6" s="139" t="s">
        <v>335</v>
      </c>
      <c r="N6" s="140" t="s">
        <v>869</v>
      </c>
      <c r="O6" s="246" t="s">
        <v>912</v>
      </c>
      <c r="P6" s="157"/>
      <c r="Q6" s="193" t="s">
        <v>1696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1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1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1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1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1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1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1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1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1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ZKE-ZEV</v>
      </c>
      <c r="E469" s="100" t="str">
        <f>IF(SP_SUL!D490="","*",SP_SUL!D490)</f>
        <v>V98</v>
      </c>
      <c r="F469" s="100" t="str">
        <f>IF(SP_SUL!H490="","*",SP_SUL!H490)</f>
        <v>102ZKW2</v>
      </c>
      <c r="G469" s="100" t="str">
        <f>IF(SP_SUL!M490="","*",SP_SUL!M490)</f>
        <v>ZKW-ZEV</v>
      </c>
      <c r="H469" s="154">
        <f>IF(SP_SUL!K490="","*",SP_SUL!K490)</f>
        <v>102</v>
      </c>
      <c r="I469" s="132">
        <f>IF(SP_SUL!O490="","*",SP_SUL!O490)</f>
        <v>0.33333333333333331</v>
      </c>
      <c r="J469" s="132">
        <f>IF(SP_SUL!P490="","*",SP_SUL!P490)</f>
        <v>4.1666666666666664E-2</v>
      </c>
      <c r="K469" s="141" t="str">
        <f>IF(SP_SUL!AK490="","*",SP_SUL!AK490)</f>
        <v>102ZKW2</v>
      </c>
      <c r="L469" s="141" t="str">
        <f>IF(SP_SUL!AM490="","*",SP_SUL!AM490)</f>
        <v>ZKW-ZEV</v>
      </c>
      <c r="M469" s="141">
        <f>IF(SP_SUL!AP490="","*",SP_SUL!AP490)</f>
        <v>102</v>
      </c>
      <c r="N469" s="141" t="str">
        <f>IF(SP_SUL!AM490="","*",SP_SUL!AM490)</f>
        <v>ZKW-ZEV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>
        <f>IF(SP_SUL!B491="","*",SP_SUL!B491)</f>
        <v>46012</v>
      </c>
      <c r="B470" s="99" t="str">
        <f>IF(SP_SUL!X491="","*",SP_SUL!X491)</f>
        <v>Oportunidade</v>
      </c>
      <c r="C470" s="100" t="str">
        <f>IF(SP_SUL!S491="","*",SP_SUL!S491)</f>
        <v>SP SUL</v>
      </c>
      <c r="D470" s="100" t="str">
        <f>IF(SP_SUL!T491="","*",SP_SUL!T491)</f>
        <v>ZPT-ZPG</v>
      </c>
      <c r="E470" s="100" t="str">
        <f>IF(SP_SUL!D491="","*",SP_SUL!D491)</f>
        <v>V85</v>
      </c>
      <c r="F470" s="100" t="str">
        <f>IF(SP_SUL!H491="","*",SP_SUL!H491)</f>
        <v>109ZPT2</v>
      </c>
      <c r="G470" s="100" t="str">
        <f>IF(SP_SUL!M491="","*",SP_SUL!M491)</f>
        <v>ZGM-109</v>
      </c>
      <c r="H470" s="154">
        <f>IF(SP_SUL!K491="","*",SP_SUL!K491)</f>
        <v>114.3</v>
      </c>
      <c r="I470" s="132">
        <f>IF(SP_SUL!O491="","*",SP_SUL!O491)</f>
        <v>0.35416666666666669</v>
      </c>
      <c r="J470" s="132">
        <f>IF(SP_SUL!P491="","*",SP_SUL!P491)</f>
        <v>6.25E-2</v>
      </c>
      <c r="K470" s="141" t="str">
        <f>IF(SP_SUL!AK491="","*",SP_SUL!AK491)</f>
        <v>109ZPT2</v>
      </c>
      <c r="L470" s="141" t="str">
        <f>IF(SP_SUL!AM491="","*",SP_SUL!AM491)</f>
        <v>ZGM-109</v>
      </c>
      <c r="M470" s="141">
        <f>IF(SP_SUL!AP491="","*",SP_SUL!AP491)</f>
        <v>114.3</v>
      </c>
      <c r="N470" s="141" t="str">
        <f>IF(SP_SUL!AM491="","*",SP_SUL!AM491)</f>
        <v>ZGM-109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-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-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-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-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-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-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-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-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ZEV2</v>
      </c>
      <c r="G491" s="100" t="str">
        <f>IF(SP_SUL!M512="","*",SP_SUL!M512)</f>
        <v>ZEV-ZPT</v>
      </c>
      <c r="H491" s="154">
        <f>IF(SP_SUL!K512="","*",SP_SUL!K512)</f>
        <v>159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ZEV2</v>
      </c>
      <c r="L491" s="141" t="str">
        <f>IF(SP_SUL!AM512="","*",SP_SUL!AM512)</f>
        <v>ZEV-ZPT</v>
      </c>
      <c r="M491" s="141">
        <f>IF(SP_SUL!AP512="","*",SP_SUL!AP512)</f>
        <v>159</v>
      </c>
      <c r="N491" s="141" t="str">
        <f>IF(SP_SUL!AM512="","*",SP_SUL!AM512)</f>
        <v>ZEV-ZPT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1697</v>
      </c>
      <c r="C2" s="96" t="s">
        <v>859</v>
      </c>
      <c r="D2" s="96" t="s">
        <v>861</v>
      </c>
      <c r="E2" s="96" t="s">
        <v>1698</v>
      </c>
      <c r="F2" s="96" t="s">
        <v>1699</v>
      </c>
      <c r="G2" s="96" t="s">
        <v>1700</v>
      </c>
      <c r="H2" s="96" t="s">
        <v>1701</v>
      </c>
      <c r="I2" s="96" t="s">
        <v>1702</v>
      </c>
      <c r="J2" s="96" t="s">
        <v>1703</v>
      </c>
      <c r="K2" s="131" t="s">
        <v>1704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V98</v>
      </c>
      <c r="E466" s="121" t="str">
        <f>IF(SP_SUL!H490="","*",SP_SUL!H490)</f>
        <v>102ZKW2</v>
      </c>
      <c r="F466" s="137" t="str">
        <f>IF(SP_SUL!M490="","*",SP_SUL!M490)</f>
        <v>ZKW-ZEV</v>
      </c>
      <c r="G466" s="121" t="str">
        <f>IF(SP_SUL!I490="","*",SP_SUL!I490)</f>
        <v>ZEV2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0.29166666666666669</v>
      </c>
    </row>
    <row r="467" spans="2:11" s="123" customFormat="1" hidden="1">
      <c r="B467" s="120" t="str">
        <f>IF(SP_SUL!Y491="","*",SP_SUL!Y491)</f>
        <v>*</v>
      </c>
      <c r="C467" s="121">
        <f>IF(SP_SUL!B491="","*",SP_SUL!B491)</f>
        <v>46012</v>
      </c>
      <c r="D467" s="121" t="str">
        <f>IF(SP_SUL!D491="","*",SP_SUL!D491)</f>
        <v>V85</v>
      </c>
      <c r="E467" s="121" t="str">
        <f>IF(SP_SUL!H491="","*",SP_SUL!H491)</f>
        <v>109ZPT2</v>
      </c>
      <c r="F467" s="137" t="str">
        <f>IF(SP_SUL!M491="","*",SP_SUL!M491)</f>
        <v>ZGM-109</v>
      </c>
      <c r="G467" s="121" t="str">
        <f>IF(SP_SUL!I491="","*",SP_SUL!I491)</f>
        <v>ZPTZDR</v>
      </c>
      <c r="H467" s="121" t="str">
        <f>IF(SP_SUL!AB491="","*",SP_SUL!AB491)</f>
        <v>FIXO</v>
      </c>
      <c r="I467" s="121" t="str">
        <f>IF(SP_SUL!AC491="","*",SP_SUL!AC491)</f>
        <v>ACIONAMENTO</v>
      </c>
      <c r="J467" s="122">
        <f>IF(SP_SUL!AA491="","*",SP_SUL!AA491)</f>
        <v>1</v>
      </c>
      <c r="K467" s="134">
        <f>IF(SP_SUL!AD491="","*",SP_SUL!AD491)</f>
        <v>0.33333333333333331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-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-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-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-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*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*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*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*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*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ZEV2</v>
      </c>
      <c r="F488" s="137" t="str">
        <f>IF(SP_SUL!M512="","*",SP_SUL!M512)</f>
        <v>ZEV-ZPT</v>
      </c>
      <c r="G488" s="121" t="str">
        <f>IF(SP_SUL!I512="","*",SP_SUL!I512)</f>
        <v>ZPTZDR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0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2025-12-20T13:00:19Z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