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01" documentId="8_{B6337239-1A00-434D-AAD0-422EA1FEB5AE}" xr6:coauthVersionLast="47" xr6:coauthVersionMax="47" xr10:uidLastSave="{5B19E6FC-F496-44C8-B2B4-FCA8117BBC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504" i="1" l="1"/>
  <c r="BR504" i="1"/>
  <c r="BQ504" i="1"/>
  <c r="BS501" i="1"/>
  <c r="BR501" i="1"/>
  <c r="BQ501" i="1"/>
  <c r="BS491" i="1"/>
  <c r="BR491" i="1"/>
  <c r="BQ491" i="1"/>
  <c r="BS489" i="1"/>
  <c r="BR489" i="1"/>
  <c r="BQ489" i="1"/>
  <c r="BS488" i="1"/>
  <c r="BR488" i="1"/>
  <c r="BQ488" i="1"/>
  <c r="BS487" i="1"/>
  <c r="BR487" i="1"/>
  <c r="BQ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S529" i="12"/>
  <c r="T529" i="12"/>
  <c r="U529" i="12"/>
  <c r="H534" i="1" a="1"/>
  <c r="H534" i="1" s="1"/>
  <c r="H528" i="1" a="1"/>
  <c r="H528" i="1" s="1"/>
  <c r="I529" i="12" s="1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N528" i="1" a="1"/>
  <c r="N528" i="1"/>
  <c r="L529" i="12" s="1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K488" i="1"/>
  <c r="AL488" i="1"/>
  <c r="AM488" i="1"/>
  <c r="AN488" i="1"/>
  <c r="AO488" i="1"/>
  <c r="BD488" i="1" s="1" a="1"/>
  <c r="BD488" i="1" s="1"/>
  <c r="AP488" i="1"/>
  <c r="AQ488" i="1"/>
  <c r="AY488" i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BB497" i="1" s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497" i="1" l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AJ497" i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AJ488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<sst xmlns="http://schemas.openxmlformats.org/spreadsheetml/2006/main" count="8453" uniqueCount="2027">
  <si>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</si>
  <si>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</si>
  <si>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</si>
  <si>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</si>
  <si>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</si>
  <si>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</si>
  <si>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</si>
  <si>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</si>
  <si>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</si>
  <si>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</si>
  <si>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</si>
  <si>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</si>
  <si>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</si>
  <si>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</si>
  <si>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</si>
  <si>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</si>
  <si>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</si>
  <si>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</si>
  <si>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</si>
  <si>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</si>
  <si>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</si>
  <si>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</si>
  <si>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</si>
  <si>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</si>
  <si>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</si>
  <si>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</si>
  <si>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</si>
  <si>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</si>
  <si>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</si>
  <si>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</si>
  <si>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</si>
  <si>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</si>
  <si>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</si>
  <si>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</si>
  <si>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</si>
  <si>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</si>
  <si>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</si>
  <si>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</si>
  <si>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</si>
  <si>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</si>
  <si>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</si>
  <si>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</si>
  <si>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</si>
  <si>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</si>
  <si>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</si>
  <si>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</si>
  <si>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</si>
  <si>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</si>
  <si>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</si>
  <si>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</si>
  <si>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</si>
  <si>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</si>
  <si>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</si>
  <si>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</si>
  <si>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</si>
  <si>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</si>
  <si>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</si>
  <si>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</si>
  <si>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</si>
  <si>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</si>
  <si>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</si>
  <si>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</si>
  <si>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</si>
  <si>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</si>
  <si>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</si>
  <si>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</si>
  <si>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</si>
  <si>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</si>
  <si>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</si>
  <si>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</si>
  <si>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</si>
  <si>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</si>
  <si>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</si>
  <si>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</si>
  <si>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</si>
  <si>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</si>
  <si>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</si>
  <si>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</si>
  <si>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</si>
  <si>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</si>
  <si>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</si>
  <si>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</si>
  <si>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</si>
  <si>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</si>
  <si>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</si>
  <si>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</si>
  <si>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</si>
  <si>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</si>
  <si>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</si>
  <si>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</si>
  <si>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</si>
  <si>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</si>
  <si>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</si>
  <si>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</si>
  <si>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</si>
  <si>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</si>
  <si>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</si>
  <si>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</si>
  <si>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</si>
  <si>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</si>
  <si>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</si>
  <si>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</si>
  <si>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</si>
  <si>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</si>
  <si>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</si>
  <si>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</si>
  <si>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</si>
  <si>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</si>
  <si>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</si>
  <si>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</si>
  <si>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</si>
  <si>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</si>
  <si>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</si>
  <si>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</si>
  <si>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</si>
  <si>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</si>
  <si>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</si>
  <si>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</si>
  <si>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</si>
  <si>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</si>
  <si>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</si>
  <si>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</si>
  <si>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</si>
  <si>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</si>
  <si>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</si>
  <si>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</si>
  <si>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</si>
  <si>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</si>
  <si>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</si>
  <si>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</si>
  <si>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</si>
  <si>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</si>
  <si>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</si>
  <si>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</si>
  <si>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</si>
  <si>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</si>
  <si>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</si>
  <si>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</si>
  <si>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</si>
  <si>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</si>
  <si>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</si>
  <si>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</si>
  <si>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</si>
  <si>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</si>
  <si>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</si>
  <si>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</si>
  <si>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</si>
  <si>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</si>
  <si>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</si>
  <si>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</si>
  <si>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</si>
  <si>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</si>
  <si>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</si>
  <si>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</si>
  <si>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</si>
  <si>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</si>
  <si>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</si>
  <si>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</si>
  <si>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</si>
  <si>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</si>
  <si>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</si>
  <si>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</si>
  <si>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</si>
  <si>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</si>
  <si>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</si>
  <si>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</si>
  <si>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</si>
  <si>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</si>
  <si>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</si>
  <si>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</si>
  <si>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</si>
  <si>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</si>
  <si>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</si>
  <si>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</si>
  <si>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</si>
  <si>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</si>
  <si>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</si>
  <si>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</si>
  <si>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</si>
  <si>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</si>
  <si>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</si>
  <si>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</si>
  <si>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</si>
  <si>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</si>
  <si>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</si>
  <si>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</si>
  <si>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</si>
  <si>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</si>
  <si>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</si>
  <si>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</si>
  <si>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</si>
  <si>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</si>
  <si>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</si>
  <si>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</si>
  <si>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</si>
  <si>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</si>
  <si>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</si>
  <si>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</si>
  <si>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</si>
  <si>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</si>
  <si>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</si>
  <si>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</si>
  <si>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</si>
  <si>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</si>
  <si>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</si>
  <si>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</si>
  <si>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</si>
  <si>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</si>
  <si>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</si>
  <si>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</si>
  <si>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</si>
  <si>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</si>
  <si>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</si>
  <si>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</si>
  <si>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</si>
  <si>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</si>
  <si>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</si>
  <si>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</si>
  <si>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</si>
  <si>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</si>
  <si>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</si>
  <si>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</si>
  <si>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</si>
  <si>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</si>
  <si>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</si>
  <si>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</si>
  <si>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</si>
  <si>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</si>
  <si>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</si>
  <si>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</si>
  <si>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</si>
  <si>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</si>
  <si>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</si>
  <si>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</si>
  <si>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</si>
  <si>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</si>
  <si>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</si>
  <si>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</si>
  <si>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</si>
  <si>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</si>
  <si>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</si>
  <si>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</si>
  <si>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</si>
  <si>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</si>
  <si>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</si>
  <si>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</si>
  <si>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</si>
  <si>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</si>
  <si>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</si>
  <si>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</si>
  <si>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</si>
  <si>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</si>
  <si>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</si>
  <si>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</si>
  <si>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</si>
  <si>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</si>
  <si>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</si>
  <si>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</si>
  <si>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</si>
  <si>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</si>
  <si>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</si>
  <si>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</si>
  <si>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</si>
  <si>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</si>
  <si>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</si>
  <si>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</si>
  <si>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</si>
  <si>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</si>
  <si>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</si>
  <si>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</si>
  <si>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</si>
  <si>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</si>
  <si>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</si>
  <si>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</si>
  <si>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</si>
  <si>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</si>
  <si>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</si>
  <si>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</si>
  <si>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</si>
  <si>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</si>
  <si>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</si>
  <si>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</si>
  <si>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</si>
  <si>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</si>
  <si>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</si>
  <si>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</si>
  <si>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</si>
  <si>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</si>
  <si>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</si>
  <si>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</si>
  <si>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</si>
  <si>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</si>
  <si>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</si>
  <si>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</si>
  <si>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</si>
  <si>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</si>
  <si>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</si>
  <si>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</si>
  <si>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</si>
  <si>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</si>
  <si>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</si>
  <si>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</si>
  <si>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</si>
  <si>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</si>
  <si>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</si>
  <si>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</si>
  <si>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</si>
  <si>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</si>
  <si>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</si>
  <si>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</si>
  <si>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</si>
  <si>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</si>
  <si>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</si>
  <si>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</si>
  <si>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</si>
  <si>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</si>
  <si>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</si>
  <si>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</si>
  <si>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</si>
  <si>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</si>
  <si>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</si>
  <si>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</si>
  <si>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</si>
  <si>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</si>
  <si>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</si>
  <si>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</si>
  <si>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</si>
  <si>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</si>
  <si>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</si>
  <si>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</si>
  <si>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</si>
  <si>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</si>
  <si>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</si>
  <si>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</si>
  <si>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</si>
  <si>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</si>
  <si>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</si>
  <si>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</si>
  <si>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</si>
  <si>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</si>
  <si>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</si>
  <si>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</si>
  <si>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</si>
  <si>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</si>
  <si>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</si>
  <si>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</si>
  <si>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</si>
  <si>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</si>
  <si>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</si>
  <si>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</si>
  <si>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</si>
  <si>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</si>
  <si>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</si>
  <si>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</si>
  <si>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</si>
  <si>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</si>
  <si>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</si>
  <si>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</si>
  <si>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</si>
  <si>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</si>
  <si>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</si>
  <si>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</si>
  <si>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</si>
  <si>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</si>
  <si>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</si>
  <si>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</si>
  <si>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</si>
  <si>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</si>
  <si>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</si>
  <si>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</si>
  <si>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</si>
  <si>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</si>
  <si>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</si>
  <si>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</si>
  <si>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</si>
  <si>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</si>
  <si>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</si>
  <si>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</si>
  <si>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</si>
  <si>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</si>
  <si>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</si>
  <si>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</si>
  <si>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</si>
  <si>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</si>
  <si>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</si>
  <si>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</si>
  <si>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</si>
  <si>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</si>
  <si>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</si>
  <si>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</si>
  <si>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</si>
  <si>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</si>
  <si>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</si>
  <si>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</si>
  <si>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</si>
  <si>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</si>
  <si>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</si>
  <si>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</si>
  <si>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</si>
  <si>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</si>
  <si>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</si>
  <si>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</si>
  <si>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</si>
  <si>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</si>
  <si>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</si>
  <si>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</si>
  <si>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</si>
  <si>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</si>
  <si>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</si>
  <si>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</si>
  <si>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</si>
  <si>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</si>
  <si>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</si>
  <si>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</si>
  <si>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</si>
  <si>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</si>
  <si>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</si>
  <si>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</si>
  <si>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</si>
  <si>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</si>
  <si>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</si>
  <si>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</si>
  <si>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</si>
  <si>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</si>
  <si>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</si>
  <si>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</si>
  <si>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</si>
  <si>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</si>
  <si>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</si>
  <si>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</si>
  <si>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</si>
  <si>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</si>
  <si>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</si>
  <si>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</si>
  <si>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</si>
  <si>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</si>
  <si>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</si>
  <si>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</si>
  <si>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</si>
  <si>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</si>
  <si>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</si>
  <si>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</si>
  <si>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</si>
  <si>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</si>
  <si>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</si>
  <si>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</si>
  <si>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</si>
  <si>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</si>
  <si>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</si>
  <si>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</si>
  <si>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</si>
  <si>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</si>
  <si>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</si>
  <si>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</si>
  <si>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</si>
  <si>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</si>
  <si>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</si>
  <si>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</si>
  <si>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</si>
  <si>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</si>
  <si>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</si>
  <si>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</si>
  <si>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</si>
  <si>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</si>
  <si>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</si>
  <si>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</si>
  <si>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</si>
  <si>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</si>
  <si>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</si>
  <si>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</si>
  <si>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</si>
  <si>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</si>
  <si>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</si>
  <si>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</si>
  <si>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</si>
  <si>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</si>
  <si>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</si>
  <si>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</si>
  <si>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</si>
  <si>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</si>
  <si>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</si>
  <si>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</si>
  <si>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</si>
  <si>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</si>
  <si>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</si>
  <si>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</si>
  <si>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</si>
  <si>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</si>
  <si>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</si>
  <si>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</si>
  <si>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</si>
  <si>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</si>
  <si>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</si>
  <si>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</si>
  <si>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</si>
  <si>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</si>
  <si>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</si>
  <si>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</si>
  <si>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</si>
  <si>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</si>
  <si>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</si>
  <si>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</si>
  <si>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</si>
  <si>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</si>
  <si>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</si>
  <si>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</si>
  <si>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</si>
  <si>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</si>
  <si>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</si>
  <si>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</si>
  <si>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</si>
  <si>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</si>
  <si>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</si>
  <si>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</si>
  <si>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</si>
  <si>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</si>
  <si>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</si>
  <si>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</si>
  <si>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</si>
  <si>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</si>
  <si>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</si>
  <si>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</si>
  <si>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</si>
  <si>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</si>
  <si>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</si>
  <si>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</si>
  <si>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</si>
  <si>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</si>
  <si>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</si>
  <si>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</si>
  <si>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</si>
  <si>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</si>
  <si>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</si>
  <si>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</si>
  <si>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</si>
  <si>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</si>
  <si>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</si>
  <si>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</si>
  <si>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</si>
  <si>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</si>
  <si>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</si>
  <si>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</si>
  <si>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</si>
  <si>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</si>
  <si>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</si>
  <si>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</si>
  <si>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</si>
  <si>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</si>
  <si>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</si>
  <si>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</si>
  <si>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</si>
  <si>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</si>
  <si>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</si>
  <si>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</si>
  <si>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</si>
  <si>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</si>
  <si>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</si>
  <si>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</si>
  <si>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</si>
  <si>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</si>
  <si>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</si>
  <si>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</si>
  <si>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</si>
  <si>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</si>
  <si>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</si>
  <si>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</si>
  <si>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</si>
  <si>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</si>
  <si>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</si>
  <si>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</si>
  <si>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</si>
  <si>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</si>
  <si>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</si>
  <si>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</si>
  <si>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</si>
  <si>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</si>
  <si>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</si>
  <si>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</si>
  <si>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</si>
  <si>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</si>
  <si>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</si>
  <si>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</si>
  <si>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</si>
  <si>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</si>
  <si>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</si>
  <si>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</si>
  <si>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</si>
  <si>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</si>
  <si>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</si>
  <si>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</si>
  <si>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</si>
  <si>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</si>
  <si>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</si>
  <si>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</si>
  <si>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</si>
  <si>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</si>
  <si>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</si>
  <si>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</si>
  <si>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</si>
  <si>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</si>
  <si>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</si>
  <si>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</si>
  <si>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</si>
  <si>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</si>
  <si>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</si>
  <si>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</si>
  <si>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</si>
  <si>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</si>
  <si>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</si>
  <si>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</si>
  <si>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</si>
  <si>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</si>
  <si>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</si>
  <si>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</si>
  <si>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</si>
  <si>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</si>
  <si>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</si>
  <si>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</si>
  <si>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</si>
  <si>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</si>
  <si>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</si>
  <si>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</si>
  <si>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</si>
  <si>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</si>
  <si>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</si>
  <si>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</si>
  <si>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</si>
  <si>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</si>
  <si>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</si>
  <si>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</si>
  <si>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</si>
  <si>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</si>
  <si>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</si>
  <si>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</si>
  <si>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</si>
  <si>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</si>
  <si>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</si>
  <si>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</si>
  <si>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</si>
  <si>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</si>
  <si>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</si>
  <si>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</si>
  <si>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</si>
  <si>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</si>
  <si>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</si>
  <si>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</si>
  <si>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</si>
  <si>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</si>
  <si>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</si>
  <si>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</si>
  <si>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</si>
  <si>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</si>
  <si>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</si>
  <si>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</si>
  <si>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</si>
  <si>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</si>
  <si>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</si>
  <si>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</si>
  <si>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</si>
  <si>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</si>
  <si>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</si>
  <si>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</si>
  <si>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</si>
  <si>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</si>
  <si>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</si>
  <si>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</si>
  <si>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</si>
  <si>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</si>
  <si>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</si>
  <si>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</si>
  <si>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</si>
  <si>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</si>
  <si>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</si>
  <si>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</si>
  <si>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</si>
  <si>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</si>
  <si>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</si>
  <si>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</si>
  <si>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</si>
  <si>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</si>
  <si>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</si>
  <si>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</si>
  <si>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</si>
  <si>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</si>
  <si>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</si>
  <si>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</si>
  <si>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</si>
  <si>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</si>
  <si>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</si>
  <si>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</si>
  <si>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</si>
  <si>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</si>
  <si>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</si>
  <si>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</si>
  <si>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</si>
  <si>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</si>
  <si>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</si>
  <si>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</si>
  <si>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</si>
  <si>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</si>
  <si>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</si>
  <si>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</si>
  <si>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</si>
  <si>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</si>
  <si>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</si>
  <si>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</si>
  <si>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</si>
  <si>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</si>
  <si>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</si>
  <si>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</si>
  <si>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</si>
  <si>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</si>
  <si>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</si>
  <si>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</si>
  <si>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</si>
  <si>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</si>
  <si>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</si>
  <si>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</si>
  <si>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</si>
  <si>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</si>
  <si>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</si>
  <si>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</si>
  <si>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</si>
  <si>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</si>
  <si>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</si>
  <si>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</si>
  <si>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</si>
  <si>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</si>
  <si>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</si>
  <si>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</si>
  <si>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</si>
  <si>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</si>
  <si>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</si>
  <si>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</si>
  <si>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</si>
  <si>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</si>
  <si>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</si>
  <si>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</si>
  <si>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</si>
  <si>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</si>
  <si>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</si>
  <si>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</si>
  <si>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</si>
  <si>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</si>
  <si>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</si>
  <si>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</si>
  <si>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</si>
  <si>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</si>
  <si>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</si>
  <si>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</si>
  <si>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</si>
  <si>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</si>
  <si>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</si>
  <si>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</si>
  <si>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</si>
  <si>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</si>
  <si>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</si>
  <si>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</si>
  <si>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</si>
  <si>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</si>
  <si>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</si>
  <si>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</si>
  <si>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</si>
  <si>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</si>
  <si>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</si>
  <si>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</si>
  <si>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</si>
  <si>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</si>
  <si>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</si>
  <si>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</si>
  <si>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</si>
  <si>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</si>
  <si>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</si>
  <si>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</si>
  <si>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</si>
  <si>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</si>
  <si>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</si>
  <si>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</si>
  <si>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</si>
  <si>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</si>
  <si>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</si>
  <si>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</si>
  <si>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</si>
  <si>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</si>
  <si>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</si>
  <si>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</si>
  <si>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</si>
  <si>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</si>
  <si>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</si>
  <si>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</si>
  <si>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</si>
  <si>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</si>
  <si>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</si>
  <si>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</si>
  <si>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</si>
  <si>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</si>
  <si>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</si>
  <si>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</si>
  <si>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</si>
  <si>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</si>
  <si>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</si>
  <si>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</si>
  <si>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</si>
  <si>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</si>
  <si>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</si>
  <si>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</si>
  <si>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</si>
  <si>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</si>
  <si>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</si>
  <si>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</si>
  <si>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</si>
  <si>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</si>
  <si>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</si>
  <si>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</si>
  <si>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</si>
  <si>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</si>
  <si>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</si>
  <si>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</si>
  <si>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</si>
  <si>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</si>
  <si>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</si>
  <si>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</si>
  <si>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</si>
  <si>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</si>
  <si>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</si>
  <si>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</si>
  <si>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</si>
  <si>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</si>
  <si>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</si>
  <si>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</si>
  <si>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</si>
  <si>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</si>
  <si>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</si>
  <si>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</si>
  <si>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</si>
  <si>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</si>
  <si>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</si>
  <si>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</si>
  <si>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</si>
  <si>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</si>
  <si>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</si>
  <si>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</si>
  <si>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</si>
  <si>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</si>
  <si>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</si>
  <si>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</si>
  <si>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</si>
  <si>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</si>
  <si>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</si>
  <si>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</si>
  <si>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</si>
  <si>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</si>
  <si>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</si>
  <si>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</si>
  <si>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</si>
  <si>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</si>
  <si>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</si>
  <si>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</si>
  <si>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</si>
  <si>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</si>
  <si>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</si>
  <si>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</si>
  <si>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</si>
  <si>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</si>
  <si>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</si>
  <si>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</si>
  <si>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</si>
  <si>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</si>
  <si>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</si>
  <si>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</si>
  <si>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</si>
  <si>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</si>
  <si>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</si>
  <si>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</si>
  <si>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</si>
  <si>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</si>
  <si>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</si>
  <si>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</si>
  <si>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</si>
  <si>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</si>
  <si>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</si>
  <si>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</si>
  <si>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</si>
  <si>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</si>
  <si>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</si>
  <si>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</si>
  <si>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</si>
  <si>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</si>
  <si>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</si>
  <si>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</si>
  <si>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</si>
  <si>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</si>
  <si>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</si>
  <si>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</si>
  <si>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</si>
  <si>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</si>
  <si>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</si>
  <si>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</si>
  <si>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</si>
  <si>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</si>
  <si>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</si>
  <si>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</si>
  <si>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</si>
  <si>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</si>
  <si>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</si>
  <si>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</si>
  <si>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</si>
  <si>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</si>
  <si>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</si>
  <si>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</si>
  <si>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</si>
  <si>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</si>
  <si>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</si>
  <si>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</si>
  <si>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</si>
  <si>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</si>
  <si>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</si>
  <si>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</si>
  <si>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</si>
  <si>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</si>
  <si>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</si>
  <si>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</si>
  <si>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</si>
  <si>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</si>
  <si>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</si>
  <si>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</si>
  <si>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</si>
  <si>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</si>
  <si>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</si>
  <si>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</si>
  <si>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</si>
  <si>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</si>
  <si>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</si>
  <si>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</si>
  <si>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</si>
  <si>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</si>
  <si>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</si>
  <si>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</si>
  <si>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</si>
  <si>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</si>
  <si>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</si>
  <si>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</si>
  <si>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</si>
  <si>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</si>
  <si>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</si>
  <si>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</si>
  <si>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</si>
  <si>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</si>
  <si>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</si>
  <si>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</si>
  <si>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</si>
  <si>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</si>
  <si>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</si>
  <si>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</si>
  <si>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</si>
  <si>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</si>
  <si>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</si>
  <si>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</si>
  <si>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</si>
  <si>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</si>
  <si>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</si>
  <si>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</si>
  <si>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</si>
  <si>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</si>
  <si>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</si>
  <si>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</si>
  <si>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</si>
  <si>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</si>
  <si>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</si>
  <si>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</si>
  <si>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</si>
  <si>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</si>
  <si>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</si>
  <si>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</si>
  <si>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</si>
  <si>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</si>
  <si>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</si>
  <si>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</si>
  <si>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</si>
  <si>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</si>
  <si>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</si>
  <si>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</si>
  <si>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</si>
  <si>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</si>
  <si>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</si>
  <si>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</si>
  <si>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</si>
  <si>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</si>
  <si>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</si>
  <si>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</si>
  <si>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</si>
  <si>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</si>
  <si>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</si>
  <si>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</si>
  <si>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</si>
  <si>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</si>
  <si>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</si>
  <si>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</si>
  <si>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</si>
  <si>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</si>
  <si>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</si>
  <si>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</si>
  <si>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</si>
  <si>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</si>
  <si>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</si>
  <si>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</si>
  <si>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</si>
  <si>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</si>
  <si>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</si>
  <si>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</si>
  <si>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</si>
  <si>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</si>
  <si>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</si>
  <si>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</si>
  <si>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</si>
  <si>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</si>
  <si>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</si>
  <si>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</si>
  <si>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</si>
  <si>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</si>
  <si>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</si>
  <si>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</si>
  <si>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</si>
  <si>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</si>
  <si>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</si>
  <si>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</si>
  <si>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</si>
  <si>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</si>
  <si>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</si>
  <si>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</si>
  <si>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</si>
  <si>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</si>
  <si>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</si>
  <si>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</si>
  <si>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</si>
  <si>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</si>
  <si>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</si>
  <si>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</si>
  <si>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</si>
  <si>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</si>
  <si>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</si>
  <si>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</si>
  <si>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</si>
  <si>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</si>
  <si>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</si>
  <si>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</si>
  <si>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</si>
  <si>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</si>
  <si>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</si>
  <si>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</si>
  <si>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</si>
  <si>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</si>
  <si>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</si>
  <si>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</si>
  <si>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</si>
  <si>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</si>
  <si>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</si>
  <si>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</si>
  <si>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</si>
  <si>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</si>
  <si>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</si>
  <si>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</si>
  <si>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</si>
  <si>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</si>
  <si>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</si>
  <si>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</si>
  <si>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</si>
  <si>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</si>
  <si>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</si>
  <si>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</si>
  <si>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</si>
  <si>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</si>
  <si>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</si>
  <si>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</si>
  <si>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</si>
  <si>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</si>
  <si>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</si>
  <si>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</si>
  <si>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</si>
  <si>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</si>
  <si>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</si>
  <si>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</si>
  <si>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</si>
  <si>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</si>
  <si>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</si>
  <si>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</si>
  <si>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</si>
  <si>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</si>
  <si>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</si>
  <si>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</si>
  <si>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</si>
  <si>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</si>
  <si>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</si>
  <si>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</si>
  <si>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</si>
  <si>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</si>
  <si>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</si>
  <si>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</si>
  <si>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</si>
  <si>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</si>
  <si>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</si>
  <si>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</si>
  <si>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</si>
  <si>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</si>
  <si>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</si>
  <si>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</si>
  <si>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</si>
  <si>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</si>
  <si>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</si>
  <si>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</si>
  <si>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</si>
  <si>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</si>
  <si>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</si>
  <si>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</si>
  <si>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</si>
  <si>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</si>
  <si>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</si>
  <si>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</si>
  <si>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</si>
  <si>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</si>
  <si>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</si>
  <si>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</si>
  <si>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</si>
  <si>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</si>
  <si>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</si>
  <si>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</si>
  <si>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</si>
  <si>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</si>
  <si>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</si>
  <si>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</si>
  <si>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</si>
  <si>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</si>
  <si>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</si>
  <si>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</si>
  <si>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</si>
  <si>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</si>
  <si>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</si>
  <si>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</si>
  <si>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</si>
  <si>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</si>
  <si>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</si>
  <si>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</si>
  <si>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</si>
  <si>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</si>
  <si>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</si>
  <si>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</si>
  <si>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</si>
  <si>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</si>
  <si>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</si>
  <si>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</si>
  <si>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</si>
  <si>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</si>
  <si>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</si>
  <si>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</si>
  <si>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</si>
  <si>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</si>
  <si>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</si>
  <si>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</si>
  <si>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</si>
  <si>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</si>
  <si>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</si>
  <si>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</si>
  <si>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</si>
  <si>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</si>
  <si>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</si>
  <si>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</si>
  <si>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</si>
  <si>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</si>
  <si>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</si>
  <si>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</si>
  <si>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</si>
  <si>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</si>
  <si>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</si>
  <si>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</si>
  <si>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</si>
  <si>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</si>
  <si>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</si>
  <si>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</si>
  <si>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</si>
  <si>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</si>
  <si>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</si>
  <si>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</si>
  <si>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</si>
  <si>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</si>
  <si>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</si>
  <si>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</si>
  <si>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</si>
  <si>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</si>
  <si>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</si>
  <si>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</si>
  <si>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</si>
  <si>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</si>
  <si>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</si>
  <si>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</si>
  <si>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</si>
  <si>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</si>
  <si>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</si>
  <si>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</si>
  <si>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</si>
  <si>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</si>
  <si>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</si>
  <si>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</si>
  <si>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</si>
  <si>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</si>
  <si>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</si>
  <si>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</si>
  <si>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</si>
  <si>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</si>
  <si>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</si>
  <si>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</si>
  <si>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</si>
  <si>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</si>
  <si>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</si>
  <si>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</si>
  <si>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</si>
  <si>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</si>
  <si>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</si>
  <si>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</si>
  <si>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</si>
  <si>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</si>
  <si>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</si>
  <si>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</si>
  <si>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</si>
  <si>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</si>
  <si>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</si>
  <si>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</si>
  <si>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</si>
  <si>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</si>
  <si>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</si>
  <si>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</si>
  <si>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</si>
  <si>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</si>
  <si>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</si>
  <si>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</si>
  <si>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</si>
  <si>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</si>
  <si>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</si>
  <si>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</si>
  <si>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</si>
  <si>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</si>
  <si>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</si>
  <si>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</si>
  <si>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</si>
  <si>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</si>
  <si>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</si>
  <si>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</si>
  <si>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</si>
  <si>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</si>
  <si>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</si>
  <si>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</si>
  <si>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</si>
  <si>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</si>
  <si>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</si>
  <si>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</si>
  <si>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</si>
  <si>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</si>
  <si>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</si>
  <si>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</si>
  <si>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</si>
  <si>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</si>
  <si>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</si>
  <si>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</si>
  <si>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</si>
  <si>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</si>
  <si>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</si>
  <si>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</si>
  <si>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</si>
  <si>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</si>
  <si>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</si>
  <si>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</si>
  <si>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</si>
  <si>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</si>
  <si>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</si>
  <si>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</si>
  <si>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</si>
  <si>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</si>
  <si>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</si>
  <si>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</si>
  <si>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</si>
  <si>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</si>
  <si>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</si>
  <si>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</si>
  <si>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</si>
  <si>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</si>
  <si>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</si>
  <si>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</si>
  <si>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</si>
  <si>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</si>
  <si>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</si>
  <si>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</si>
  <si>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</si>
  <si>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</si>
  <si>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</si>
  <si>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</si>
  <si>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</si>
  <si>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</si>
  <si>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</si>
  <si>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</si>
  <si>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</si>
  <si>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</si>
  <si>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</si>
  <si>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</si>
  <si>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</si>
  <si>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</si>
  <si>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</si>
  <si>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</si>
  <si>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</si>
  <si>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</si>
  <si>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</si>
  <si>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</si>
  <si>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</si>
  <si>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</si>
  <si>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</si>
  <si>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</si>
  <si>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</si>
  <si>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</si>
  <si>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</si>
  <si>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</si>
  <si>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</si>
  <si>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</si>
  <si>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</si>
  <si>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</si>
  <si>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</si>
  <si>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</si>
  <si>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</si>
  <si>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</si>
  <si>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</si>
  <si>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</si>
  <si>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</si>
  <si>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</si>
  <si>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</si>
  <si>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</si>
  <si>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</si>
  <si>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</si>
  <si>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</si>
  <si>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</si>
  <si>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</si>
  <si>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</si>
  <si>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</si>
  <si>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</si>
  <si>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</si>
  <si>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</si>
  <si>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</si>
  <si>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</si>
  <si>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</si>
  <si>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</si>
  <si>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</si>
  <si>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</si>
  <si>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</si>
  <si>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</si>
  <si>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</si>
  <si>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</si>
  <si>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</si>
  <si>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</si>
  <si>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</si>
  <si>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</si>
  <si>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</si>
  <si>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</si>
  <si>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</si>
  <si>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</si>
  <si>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</si>
  <si>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</si>
  <si>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</si>
  <si>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</si>
  <si>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</si>
  <si>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</si>
  <si>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</si>
  <si>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</si>
  <si>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</si>
  <si>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</si>
  <si>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</si>
  <si>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</si>
  <si>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</si>
  <si>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</si>
  <si>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</si>
  <si>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</si>
  <si>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</si>
  <si>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</si>
  <si>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</si>
  <si>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</si>
  <si>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</si>
  <si>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</si>
  <si>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</si>
  <si>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</si>
  <si>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</si>
  <si>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</si>
  <si>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</si>
  <si>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</si>
  <si>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</si>
  <si>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</si>
  <si>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</si>
  <si>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</si>
  <si>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</si>
  <si>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</si>
  <si>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</si>
  <si>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</si>
  <si>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</si>
  <si>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</si>
  <si>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</si>
  <si>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</si>
  <si>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</si>
  <si>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</si>
  <si>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</si>
  <si>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</si>
  <si>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</si>
  <si>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</si>
  <si>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</si>
  <si>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</si>
  <si>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</si>
  <si>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</si>
  <si>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</si>
  <si>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</si>
  <si>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</si>
  <si>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</si>
  <si>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</si>
  <si>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</si>
  <si>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</si>
  <si>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</si>
  <si>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</si>
  <si>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</si>
  <si>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</si>
  <si>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</si>
  <si>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</si>
  <si>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</si>
  <si>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</si>
  <si>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</si>
  <si>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</si>
  <si>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</si>
  <si>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</si>
  <si>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</si>
  <si>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</si>
  <si>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</si>
  <si>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</si>
  <si>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</si>
  <si>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</si>
  <si>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</si>
  <si>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</si>
  <si>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</si>
  <si>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</si>
  <si>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</si>
  <si>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</si>
  <si>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</si>
  <si>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</si>
  <si>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</si>
  <si>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</si>
  <si>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</si>
  <si>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</si>
  <si>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</si>
  <si>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</si>
  <si>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</si>
  <si>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</si>
  <si>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</si>
  <si>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</si>
  <si>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</si>
  <si>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</si>
  <si>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</si>
  <si>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</si>
  <si>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</si>
  <si>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</si>
  <si>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</si>
  <si>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</si>
  <si>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</si>
  <si>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</si>
  <si>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</si>
  <si>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</si>
  <si>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</si>
  <si>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</si>
  <si>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</si>
  <si>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</si>
  <si>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</si>
  <si>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</si>
  <si>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</si>
  <si>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</si>
  <si>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</si>
  <si>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</si>
  <si>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</si>
  <si>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</si>
  <si>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</si>
  <si>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</si>
  <si>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</si>
  <si>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</si>
  <si>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</si>
  <si>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</si>
  <si>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</si>
  <si>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</si>
  <si>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</si>
  <si>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</si>
  <si>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</si>
  <si>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</si>
  <si>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</si>
  <si>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</si>
  <si>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</si>
  <si>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</si>
  <si>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</si>
  <si>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</si>
  <si>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</si>
  <si>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</si>
  <si>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</si>
  <si>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</si>
  <si>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</si>
  <si>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</si>
  <si>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</si>
  <si>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</si>
  <si>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</si>
  <si>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</si>
  <si>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</si>
  <si>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</si>
  <si>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</si>
  <si>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</si>
  <si>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</si>
  <si>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</si>
  <si>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</si>
  <si>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</si>
  <si>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</si>
  <si>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</si>
  <si>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</si>
  <si>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</si>
  <si>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</si>
  <si>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</si>
  <si>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</si>
  <si>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</si>
  <si>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</si>
  <si>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</si>
  <si>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</si>
  <si>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</si>
  <si>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</si>
  <si>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</si>
  <si>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</si>
  <si>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</si>
  <si>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</si>
  <si>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</si>
  <si>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</si>
  <si>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</si>
  <si>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</si>
  <si>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</si>
  <si>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</si>
  <si>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</si>
  <si>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</si>
  <si>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</si>
  <si>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</si>
  <si>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</si>
  <si>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</si>
  <si>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</si>
  <si>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</si>
  <si>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</si>
  <si>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</si>
  <si>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</si>
  <si>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</si>
  <si>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</si>
  <si>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</si>
  <si>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</si>
  <si>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</si>
  <si>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</si>
  <si>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</si>
  <si>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</si>
  <si>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</si>
  <si>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</si>
  <si>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</si>
  <si>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</si>
  <si>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</si>
  <si>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</si>
  <si>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</si>
  <si>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</si>
  <si>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</si>
  <si>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</si>
  <si>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</si>
  <si>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</si>
  <si>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</si>
  <si>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</si>
  <si>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</si>
  <si>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</si>
  <si>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</si>
  <si>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</si>
  <si>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</si>
  <si>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</si>
  <si>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</si>
  <si>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</si>
  <si>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</si>
  <si>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</si>
  <si>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</si>
  <si>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</si>
  <si>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</si>
  <si>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</si>
  <si>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</si>
  <si>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</si>
  <si>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</si>
  <si>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</si>
  <si>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</si>
  <si>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</si>
  <si>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</si>
  <si>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</si>
  <si>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</si>
  <si>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</si>
  <si>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</si>
  <si>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</si>
  <si>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</si>
  <si>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</si>
  <si>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</si>
  <si>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</si>
  <si>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</si>
  <si>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</si>
  <si>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</si>
  <si>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</si>
  <si>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</si>
  <si>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</si>
  <si>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</si>
  <si>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</si>
  <si>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</si>
  <si>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</si>
  <si>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</si>
  <si>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</si>
  <si>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</si>
  <si>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</si>
  <si>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</si>
  <si>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</si>
  <si>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</si>
  <si>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</si>
  <si>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</si>
  <si>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</si>
  <si>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</si>
  <si>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</si>
  <si>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</si>
  <si>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</si>
  <si>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</si>
  <si>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</si>
  <si>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</si>
  <si>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</si>
  <si>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</si>
  <si>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</si>
  <si>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</si>
  <si>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</si>
  <si>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</si>
  <si>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</si>
  <si>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</si>
  <si>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</si>
  <si>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</si>
  <si>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</si>
  <si>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</si>
  <si>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</si>
  <si>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</si>
  <si>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</si>
  <si>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</si>
  <si>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</si>
  <si>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</si>
  <si>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</si>
  <si>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</si>
  <si>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</si>
  <si>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</si>
  <si>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</si>
  <si>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</si>
  <si>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</si>
  <si>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</si>
  <si>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</si>
  <si>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</si>
  <si>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</si>
  <si>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</si>
  <si>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</si>
  <si>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</si>
  <si>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</si>
  <si>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</si>
  <si>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</si>
  <si>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</si>
  <si>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</si>
  <si>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</si>
  <si>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</si>
  <si>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</si>
  <si>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</si>
  <si>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</si>
  <si>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</si>
  <si>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</si>
  <si>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</si>
  <si>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</si>
  <si>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</si>
  <si>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</si>
  <si>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</si>
  <si>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</si>
  <si>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</si>
  <si>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</si>
  <si>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</si>
  <si>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</si>
  <si>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</si>
  <si>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</si>
  <si>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</si>
  <si>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</si>
  <si>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</si>
  <si>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</si>
  <si>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</si>
  <si>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</si>
  <si>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</si>
  <si>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</si>
  <si>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</si>
  <si>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</si>
  <si>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</si>
  <si>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</si>
  <si>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</si>
  <si>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</si>
  <si>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</si>
  <si>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</si>
  <si>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</si>
  <si>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</si>
  <si>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</si>
  <si>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</si>
  <si>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</si>
  <si>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</si>
  <si>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</si>
  <si>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</si>
  <si>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</si>
  <si>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</si>
  <si>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</si>
  <si>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</si>
  <si>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</si>
  <si>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</si>
  <si>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</si>
  <si>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</si>
  <si>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</si>
  <si>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</si>
  <si>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</si>
  <si>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</si>
  <si>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</si>
  <si>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</si>
  <si>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</si>
  <si>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</si>
  <si>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</si>
  <si>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</si>
  <si>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</si>
  <si>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</si>
  <si>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</si>
  <si>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</si>
  <si>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</si>
  <si>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</si>
  <si>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</si>
  <si>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</si>
  <si>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</si>
  <si>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</si>
  <si>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</si>
  <si>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</si>
  <si>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</si>
  <si>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</si>
  <si>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</si>
  <si>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</si>
  <si>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</si>
  <si>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</si>
  <si>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</si>
  <si>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</si>
  <si>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</si>
  <si>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</si>
  <si>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</si>
  <si>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</si>
  <si>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</si>
  <si>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</si>
  <si>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</si>
  <si>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</si>
  <si>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</si>
  <si>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</si>
  <si>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</si>
  <si>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</si>
  <si>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</si>
  <si>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</si>
  <si>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</si>
  <si>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</si>
  <si>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</si>
  <si>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</si>
  <si>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</si>
  <si>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</si>
  <si>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</si>
  <si>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</si>
  <si>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</si>
  <si>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</si>
  <si>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</si>
  <si>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</si>
  <si>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</si>
  <si>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</si>
  <si>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</si>
  <si>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</si>
  <si>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</si>
  <si>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</si>
  <si>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</si>
  <si>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</si>
  <si>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</si>
  <si>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</si>
  <si>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</si>
  <si>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</si>
  <si>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</si>
  <si>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</si>
  <si>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</si>
  <si>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</si>
  <si>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</si>
  <si>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</si>
  <si>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</si>
  <si>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</si>
  <si>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</si>
  <si>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</si>
  <si>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</si>
  <si>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</si>
  <si>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</si>
  <si>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</si>
  <si>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</si>
  <si>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</si>
  <si>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</si>
  <si>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</si>
  <si>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</si>
  <si>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</si>
  <si>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</si>
  <si>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</si>
  <si>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</si>
  <si>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</si>
  <si>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</si>
  <si>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</si>
  <si>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</si>
  <si>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</si>
  <si>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</si>
  <si>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</si>
  <si>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</si>
  <si>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</si>
  <si>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</si>
  <si>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</si>
  <si>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</si>
  <si>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</si>
  <si>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</si>
  <si>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</si>
  <si>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</si>
  <si>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</si>
  <si>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</si>
  <si>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</si>
  <si>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</si>
  <si>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</si>
  <si>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</si>
  <si>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</si>
  <si>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</si>
  <si>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</si>
  <si>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</si>
  <si>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</si>
  <si>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</si>
  <si>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</si>
  <si>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</si>
  <si>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</si>
  <si>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</si>
  <si>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</si>
  <si>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</si>
  <si>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</si>
  <si>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</si>
  <si>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</si>
  <si>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</si>
  <si>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</si>
  <si>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</si>
  <si>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</si>
  <si>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</si>
  <si>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</si>
  <si>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</si>
  <si>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</si>
  <si>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</si>
  <si>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</si>
  <si>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</si>
  <si>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</si>
  <si>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</si>
  <si>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</si>
  <si>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</si>
  <si>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</si>
  <si>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</si>
  <si>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</si>
  <si>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</si>
  <si>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</si>
  <si>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</si>
  <si>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</si>
  <si>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</si>
  <si>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</si>
  <si>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</si>
  <si>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</si>
  <si>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</si>
  <si>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</si>
  <si>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</si>
  <si>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</si>
  <si>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</si>
  <si>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</si>
  <si>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</si>
  <si>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</si>
  <si>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</si>
  <si>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</si>
  <si>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</si>
  <si>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</si>
  <si>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</si>
  <si>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</si>
  <si>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</si>
  <si>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</si>
  <si>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</si>
  <si>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</si>
  <si>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</si>
  <si>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</si>
  <si>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</si>
  <si>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</si>
  <si>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</si>
  <si>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</si>
  <si>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</si>
  <si>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</si>
  <si>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</si>
  <si>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</si>
  <si>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</si>
  <si>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</si>
  <si>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</si>
  <si>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</si>
  <si>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</si>
  <si>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</si>
  <si>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</si>
  <si>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</si>
  <si>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</si>
  <si>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</si>
  <si>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</si>
  <si>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</si>
  <si>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</si>
  <si>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</si>
  <si>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</si>
  <si>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</si>
  <si>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</si>
  <si>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</si>
  <si>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</si>
  <si>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</si>
  <si>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</si>
  <si>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</si>
  <si>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</si>
  <si>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</si>
  <si>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</si>
  <si>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</si>
  <si>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</si>
  <si>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</si>
  <si>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</si>
  <si>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</si>
  <si>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</si>
  <si>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</si>
  <si>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</si>
  <si>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</si>
  <si>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</si>
  <si>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</si>
  <si>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</si>
  <si>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</si>
  <si>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</si>
  <si>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</si>
  <si>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</si>
  <si>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</si>
  <si>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</si>
  <si>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</si>
  <si>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</si>
  <si>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</si>
  <si>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</si>
  <si>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</si>
  <si>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</si>
  <si>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</si>
  <si>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</si>
  <si>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</si>
  <si>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</si>
  <si>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</si>
  <si>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</si>
  <si>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</si>
  <si>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</si>
  <si>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</si>
  <si>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</si>
  <si>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</si>
  <si>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</si>
  <si>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</si>
  <si>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</si>
  <si>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</si>
  <si>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</si>
  <si>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</si>
  <si>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</si>
  <si>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</si>
  <si>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</si>
  <si>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</si>
  <si>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</si>
  <si>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</si>
  <si>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</si>
  <si>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</si>
  <si>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</si>
  <si>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>TBSNORTE</t>
  </si>
  <si>
    <t>Troca de meia chave TBS norte</t>
  </si>
  <si>
    <t>Deslocamento de TAG para abastecer no TOM e seguir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</si>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</sst>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M479" activePane="topRight" state="frozen"/>
      <selection pane="topRight" activeCell="BO501" sqref="BO5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759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990</v>
      </c>
      <c r="BN484" s="173" t="s">
        <v>1020</v>
      </c>
      <c r="BO484" s="203" t="s">
        <v>1098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974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993</v>
      </c>
      <c r="BN486" s="173" t="s">
        <v>1022</v>
      </c>
      <c r="BO486" s="203" t="s">
        <v>1084</v>
      </c>
      <c r="BP486" s="179" t="s">
        <v>609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974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1084</v>
      </c>
      <c r="BL487" s="177"/>
      <c r="BM487" s="173" t="s">
        <v>993</v>
      </c>
      <c r="BN487" s="173" t="s">
        <v>1022</v>
      </c>
      <c r="BO487" s="203" t="s">
        <v>1084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1949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974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998</v>
      </c>
      <c r="BN488" s="173" t="s">
        <v>998</v>
      </c>
      <c r="BO488" s="203" t="s">
        <v>998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875</v>
      </c>
      <c r="E489" s="338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974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998</v>
      </c>
      <c r="BN489" s="173" t="s">
        <v>998</v>
      </c>
      <c r="BO489" s="203" t="s">
        <v>998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8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1084</v>
      </c>
      <c r="BL491" s="177"/>
      <c r="BM491" s="173" t="s">
        <v>993</v>
      </c>
      <c r="BN491" s="173" t="s">
        <v>1022</v>
      </c>
      <c r="BO491" s="203" t="s">
        <v>1084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8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974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1084</v>
      </c>
      <c r="BL494" s="177"/>
      <c r="BM494" s="173" t="s">
        <v>993</v>
      </c>
      <c r="BN494" s="173" t="s">
        <v>1022</v>
      </c>
      <c r="BO494" s="203" t="s">
        <v>1084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8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1084</v>
      </c>
      <c r="BL496" s="177"/>
      <c r="BM496" s="173" t="s">
        <v>993</v>
      </c>
      <c r="BN496" s="173" t="s">
        <v>1022</v>
      </c>
      <c r="BO496" s="203" t="s">
        <v>1084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8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1084</v>
      </c>
      <c r="BL497" s="177"/>
      <c r="BM497" s="173" t="s">
        <v>993</v>
      </c>
      <c r="BN497" s="173" t="s">
        <v>1022</v>
      </c>
      <c r="BO497" s="203" t="s">
        <v>1084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8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996</v>
      </c>
      <c r="BN499" s="173" t="s">
        <v>1014</v>
      </c>
      <c r="BO499" s="203" t="s">
        <v>1087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8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989</v>
      </c>
      <c r="BN501" s="173" t="s">
        <v>1009</v>
      </c>
      <c r="BO501" s="203" t="s">
        <v>1076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 hidden="1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8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1084</v>
      </c>
      <c r="BK504" s="179" t="s">
        <v>1966</v>
      </c>
      <c r="BL504" s="177"/>
      <c r="BM504" s="173" t="s">
        <v>993</v>
      </c>
      <c r="BN504" s="173" t="s">
        <v>1022</v>
      </c>
      <c r="BO504" s="203" t="s">
        <v>1084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 hidden="1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 hidden="1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 hidden="1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 hidden="1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 hidden="1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 hidden="1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847</v>
      </c>
      <c r="E510" s="338"/>
      <c r="F510" s="166" t="s">
        <v>785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974</v>
      </c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 hidden="1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idden="1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875</v>
      </c>
      <c r="E512" s="338"/>
      <c r="F512" s="166" t="s">
        <v>792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609</v>
      </c>
      <c r="J512" s="219">
        <v>98</v>
      </c>
      <c r="K512" s="219">
        <v>548.14499999999998</v>
      </c>
      <c r="L512" s="171" t="s">
        <v>609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974</v>
      </c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 hidden="1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idden="1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898</v>
      </c>
      <c r="E514" s="338"/>
      <c r="F514" s="166" t="s">
        <v>792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609</v>
      </c>
      <c r="J514" s="219">
        <v>74</v>
      </c>
      <c r="K514" s="219">
        <v>403.13200000000001</v>
      </c>
      <c r="L514" s="171" t="s">
        <v>609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974</v>
      </c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 hidden="1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 hidden="1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928</v>
      </c>
      <c r="E516" s="338"/>
      <c r="F516" s="166" t="s">
        <v>792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609</v>
      </c>
      <c r="J516" s="219">
        <v>74</v>
      </c>
      <c r="K516" s="219">
        <v>234.5</v>
      </c>
      <c r="L516" s="171" t="s">
        <v>609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974</v>
      </c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 hidden="1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idden="1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683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974</v>
      </c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 hidden="1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 hidden="1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 hidden="1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 hidden="1">
      <c r="A522" s="161" t="str">
        <f t="shared" si="36"/>
        <v>V86</v>
      </c>
      <c r="B522" s="162">
        <v>46055</v>
      </c>
      <c r="C522" s="342">
        <f>IF(BS_CONTROLE[[#This Row],[DATA]]="","",WEEKNUM(BS_CONTROLE[[#This Row],[DATA]]))</f>
        <v>6</v>
      </c>
      <c r="D522" s="51" t="s">
        <v>813</v>
      </c>
      <c r="E522" s="338"/>
      <c r="F522" s="166" t="s">
        <v>715</v>
      </c>
      <c r="G522" s="154" t="str">
        <f>IF(D522="","*",VLOOKUP(F522,BS_ATIVIDADE[#All],3,FALSE))</f>
        <v>MECANIZAÇÃO - SOCADORA</v>
      </c>
      <c r="H522" s="158" t="s">
        <v>72</v>
      </c>
      <c r="I522" s="158" t="s">
        <v>72</v>
      </c>
      <c r="J522" s="219">
        <v>98</v>
      </c>
      <c r="K522" s="219">
        <v>710</v>
      </c>
      <c r="L522" s="171">
        <v>719</v>
      </c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22" s="193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22" s="158">
        <v>0.4375</v>
      </c>
      <c r="P522" s="158">
        <v>8.3333333333333329E-2</v>
      </c>
      <c r="Q522" s="171">
        <v>1120</v>
      </c>
      <c r="R522" s="10" t="str">
        <f>IFERROR(_xlfn.XLOOKUP(F522, BS_ATIVIDADE[ATIVIDADE],BS_ATIVIDADE[UNIDADE] ), "*")</f>
        <v>M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2" s="155" t="str">
        <f>IFERROR(_xlfn.XLOOKUP(J522, BASE_MAPA!$E$2:$E$359, BASE_MAPA!$J$2:$J$359), "ERRO")</f>
        <v>ALTO ARAGUAIA - RONDONOPOLIS</v>
      </c>
      <c r="V522" s="282" t="s">
        <v>1230</v>
      </c>
      <c r="W522" s="335" t="s">
        <v>1231</v>
      </c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MECANIZAÇÃO - SOCADORA</v>
      </c>
      <c r="AJ522" s="9" t="str">
        <f>IF(D522="","*",VLOOKUP(AI522,BS_ATIVIDADE[#Data],3,FALSE))</f>
        <v>MECANIZAÇÃO - SOCADORA</v>
      </c>
      <c r="AK522" s="283" t="str">
        <f>IF(BS_CONTROLE[[#This Row],[Local - Partida]]=0, "-", BS_CONTROLE[[#This Row],[Local - Partida]])</f>
        <v>TSF</v>
      </c>
      <c r="AL522" s="283" t="str">
        <f>IF(BS_CONTROLE[[#This Row],[Local - Encerramento]]=0, "-", BS_CONTROLE[[#This Row],[Local - Encerramento]])</f>
        <v>TSF</v>
      </c>
      <c r="AM522" s="283" t="str">
        <f>IF(BS_CONTROLE[[#This Row],[Entre - Estações]]=0, "-", BS_CONTROLE[[#This Row],[Entre - Estações]])</f>
        <v>TAL-TSF</v>
      </c>
      <c r="AN522" s="283">
        <f>IF(BS_CONTROLE[[#This Row],[SB]]=0, "-", BS_CONTROLE[[#This Row],[SB]])</f>
        <v>699710</v>
      </c>
      <c r="AO522" s="267">
        <f>IF(BS_CONTROLE[[#This Row],[SUB]]=0, "-", BS_CONTROLE[[#This Row],[SUB]])</f>
        <v>98</v>
      </c>
      <c r="AP522" s="268">
        <f>IF(BS_CONTROLE[[#This Row],[KM - Inicio]]=0, "-", BS_CONTROLE[[#This Row],[KM - Inicio]])</f>
        <v>710</v>
      </c>
      <c r="AQ522" s="268">
        <f>IF(BS_CONTROLE[[#This Row],[KM - Fim]]=0, "-", BS_CONTROLE[[#This Row],[KM - Fim]])</f>
        <v>719</v>
      </c>
      <c r="AR522" s="284"/>
      <c r="AS522" s="284"/>
      <c r="AT522" s="284"/>
      <c r="AU522" s="285"/>
      <c r="AV522" s="285"/>
      <c r="AW522" s="285"/>
      <c r="AX522" s="175"/>
      <c r="AY522" s="288">
        <f>IF(D522="","*",IFERROR(IF(ISODD(COUNT(AS522:AX522)),"ERRO",SUM((AT522-AS522),(AV522-AU522),(AX522-AW522))),"ERRO"))</f>
        <v>0</v>
      </c>
      <c r="AZ522" s="156"/>
      <c r="BA522" s="176"/>
      <c r="BB522" s="172" t="str">
        <f>IFERROR(_xlfn.XLOOKUP(AI522, BS_ATIVIDADE[ATIVIDADE],BS_ATIVIDADE[UNIDADE] ), "*")</f>
        <v>M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2" s="157" t="str">
        <f>IFERROR(_xlfn.XLOOKUP(AO522, BASE_MAPA!$E$2:$E$359, BASE_MAPA!$J$2:$J$359), "ERRO")</f>
        <v>ALTO ARAGUAIA - RONDONOPOLIS</v>
      </c>
      <c r="BF522" s="269" t="str">
        <f>IF(BS_CONTROLE[[#This Row],[Responsavel pelo boletim]]=0, "-", BS_CONTROLE[[#This Row],[Responsavel pelo boletim]])</f>
        <v>Antonioni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Produção e Intervalo</v>
      </c>
      <c r="BR522" s="18">
        <f>IF(OR(B522="",F522=""),"*",AY522/P522)</f>
        <v>0</v>
      </c>
      <c r="BS522" s="18">
        <f>IF(OR(B522="",F522=""),"*",BA522/Q522)</f>
        <v>0</v>
      </c>
      <c r="BT522" s="212" t="str">
        <f>IF(BN522="","",SUBSTITUTE(BM522," ","")&amp;SUBSTITUTE(BN522," ",""))</f>
        <v/>
      </c>
    </row>
    <row r="523" spans="1:72" hidden="1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 hidden="1">
      <c r="A524" s="161" t="str">
        <f t="shared" si="36"/>
        <v>W70</v>
      </c>
      <c r="B524" s="162">
        <v>46055</v>
      </c>
      <c r="C524" s="342">
        <f>IF(BS_CONTROLE[[#This Row],[DATA]]="","",WEEKNUM(BS_CONTROLE[[#This Row],[DATA]]))</f>
        <v>6</v>
      </c>
      <c r="D524" s="51" t="s">
        <v>847</v>
      </c>
      <c r="E524" s="338"/>
      <c r="F524" s="166" t="s">
        <v>785</v>
      </c>
      <c r="G524" s="154" t="str">
        <f>IF(D524="","*",VLOOKUP(F524,BS_ATIVIDADE[#All],3,FALSE))</f>
        <v>PEDRA</v>
      </c>
      <c r="H524" s="158" t="s">
        <v>597</v>
      </c>
      <c r="I524" s="158" t="s">
        <v>597</v>
      </c>
      <c r="J524" s="219">
        <v>98</v>
      </c>
      <c r="K524" s="219">
        <v>703</v>
      </c>
      <c r="L524" s="171">
        <v>706</v>
      </c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24" s="193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24" s="158">
        <v>0.41666666666666669</v>
      </c>
      <c r="P524" s="158">
        <v>0.125</v>
      </c>
      <c r="Q524" s="171">
        <v>28</v>
      </c>
      <c r="R524" s="10" t="str">
        <f>IFERROR(_xlfn.XLOOKUP(F524, BS_ATIVIDADE[ATIVIDADE],BS_ATIVIDADE[UNIDADE] ), "*")</f>
        <v>VAGÕES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4" s="155" t="str">
        <f>IFERROR(_xlfn.XLOOKUP(J524, BASE_MAPA!$E$2:$E$359, BASE_MAPA!$J$2:$J$359), "ERRO")</f>
        <v>ALTO ARAGUAIA - RONDONOPOLIS</v>
      </c>
      <c r="V524" s="282" t="s">
        <v>1339</v>
      </c>
      <c r="W524" s="335" t="s">
        <v>1710</v>
      </c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PDM - PEDRA - DESCARGA</v>
      </c>
      <c r="AJ524" s="9" t="str">
        <f>IF(D524="","*",VLOOKUP(AI524,BS_ATIVIDADE[#Data],3,FALSE))</f>
        <v>PEDRA</v>
      </c>
      <c r="AK524" s="283" t="str">
        <f>IF(BS_CONTROLE[[#This Row],[Local - Partida]]=0, "-", BS_CONTROLE[[#This Row],[Local - Partida]])</f>
        <v>TGR2</v>
      </c>
      <c r="AL524" s="283" t="str">
        <f>IF(BS_CONTROLE[[#This Row],[Local - Encerramento]]=0, "-", BS_CONTROLE[[#This Row],[Local - Encerramento]])</f>
        <v>TGR2</v>
      </c>
      <c r="AM524" s="283" t="str">
        <f>IF(BS_CONTROLE[[#This Row],[Entre - Estações]]=0, "-", BS_CONTROLE[[#This Row],[Entre - Estações]])</f>
        <v>TAL-TSF</v>
      </c>
      <c r="AN524" s="283">
        <f>IF(BS_CONTROLE[[#This Row],[SB]]=0, "-", BS_CONTROLE[[#This Row],[SB]])</f>
        <v>699710</v>
      </c>
      <c r="AO524" s="267">
        <f>IF(BS_CONTROLE[[#This Row],[SUB]]=0, "-", BS_CONTROLE[[#This Row],[SUB]])</f>
        <v>98</v>
      </c>
      <c r="AP524" s="268">
        <f>IF(BS_CONTROLE[[#This Row],[KM - Inicio]]=0, "-", BS_CONTROLE[[#This Row],[KM - Inicio]])</f>
        <v>703</v>
      </c>
      <c r="AQ524" s="268">
        <f>IF(BS_CONTROLE[[#This Row],[KM - Fim]]=0, "-", BS_CONTROLE[[#This Row],[KM - Fim]])</f>
        <v>706</v>
      </c>
      <c r="AR524" s="284"/>
      <c r="AS524" s="284"/>
      <c r="AT524" s="284"/>
      <c r="AU524" s="285"/>
      <c r="AV524" s="285"/>
      <c r="AW524" s="285"/>
      <c r="AX524" s="175"/>
      <c r="AY524" s="288">
        <f>IF(D524="","*",IFERROR(IF(ISODD(COUNT(AS524:AX524)),"ERRO",SUM((AT524-AS524),(AV524-AU524),(AX524-AW524))),"ERRO"))</f>
        <v>0</v>
      </c>
      <c r="AZ524" s="156"/>
      <c r="BA524" s="176"/>
      <c r="BB524" s="172" t="str">
        <f>IFERROR(_xlfn.XLOOKUP(AI524, BS_ATIVIDADE[ATIVIDADE],BS_ATIVIDADE[UNIDADE] ), "*")</f>
        <v>VAGÕES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4" s="157" t="str">
        <f>IFERROR(_xlfn.XLOOKUP(AO524, BASE_MAPA!$E$2:$E$359, BASE_MAPA!$J$2:$J$359), "ERRO")</f>
        <v>ALTO ARAGUAIA - RONDONOPOLIS</v>
      </c>
      <c r="BF524" s="269" t="str">
        <f>IF(BS_CONTROLE[[#This Row],[Responsavel pelo boletim]]=0, "-", BS_CONTROLE[[#This Row],[Responsavel pelo boletim]])</f>
        <v>Camila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Produção e Intervalo</v>
      </c>
      <c r="BR524" s="18">
        <f>IF(OR(B524="",F524=""),"*",AY524/P524)</f>
        <v>0</v>
      </c>
      <c r="BS524" s="18">
        <f>IF(OR(B524="",F524=""),"*",BA524/Q524)</f>
        <v>0</v>
      </c>
      <c r="BT524" s="212" t="str">
        <f>IF(BN524="","",SUBSTITUTE(BM524," ","")&amp;SUBSTITUTE(BN524," ",""))</f>
        <v/>
      </c>
    </row>
    <row r="525" spans="1:72" hidden="1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 hidden="1">
      <c r="A526" s="161" t="str">
        <f t="shared" si="36"/>
        <v>FRANCISCO (TF-19)</v>
      </c>
      <c r="B526" s="162">
        <v>46055</v>
      </c>
      <c r="C526" s="342">
        <f>IF(BS_CONTROLE[[#This Row],[DATA]]="","",WEEKNUM(BS_CONTROLE[[#This Row],[DATA]]))</f>
        <v>6</v>
      </c>
      <c r="D526" s="51" t="s">
        <v>959</v>
      </c>
      <c r="E526" s="338"/>
      <c r="F526" s="166" t="s">
        <v>770</v>
      </c>
      <c r="G526" s="154" t="str">
        <f>IF(D526="","*",VLOOKUP(F526,BS_ATIVIDADE[#All],3,FALSE))</f>
        <v>AMV</v>
      </c>
      <c r="H526" s="158" t="s">
        <v>1971</v>
      </c>
      <c r="I526" s="158" t="s">
        <v>609</v>
      </c>
      <c r="J526" s="219">
        <v>98</v>
      </c>
      <c r="K526" s="219">
        <v>662.31299999999999</v>
      </c>
      <c r="L526" s="171" t="s">
        <v>609</v>
      </c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526" s="193" t="s">
        <v>1971</v>
      </c>
      <c r="O526" s="158">
        <v>0.375</v>
      </c>
      <c r="P526" s="158">
        <v>0.125</v>
      </c>
      <c r="Q526" s="171">
        <v>1</v>
      </c>
      <c r="R526" s="10" t="str">
        <f>IFERROR(_xlfn.XLOOKUP(F526, BS_ATIVIDADE[ATIVIDADE],BS_ATIVIDADE[UNIDADE] ), "*")</f>
        <v>Nº DE PEÇAS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6" s="155" t="str">
        <f>IFERROR(_xlfn.XLOOKUP(J526, BASE_MAPA!$E$2:$E$359, BASE_MAPA!$J$2:$J$359), "ERRO")</f>
        <v>ALTO ARAGUAIA - RONDONOPOLIS</v>
      </c>
      <c r="V526" s="282" t="s">
        <v>1339</v>
      </c>
      <c r="W526" s="335" t="s">
        <v>1972</v>
      </c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PDM - AMV - MEIA CHAVE</v>
      </c>
      <c r="AJ526" s="9" t="str">
        <f>IF(D526="","*",VLOOKUP(AI526,BS_ATIVIDADE[#Data],3,FALSE))</f>
        <v>AMV</v>
      </c>
      <c r="AK526" s="283" t="str">
        <f>IF(BS_CONTROLE[[#This Row],[Local - Partida]]=0, "-", BS_CONTROLE[[#This Row],[Local - Partida]])</f>
        <v>TBSNORTE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TBS</v>
      </c>
      <c r="AN526" s="283" t="str">
        <f>IF(BS_CONTROLE[[#This Row],[SB]]=0, "-", BS_CONTROLE[[#This Row],[SB]])</f>
        <v>TBSNORTE</v>
      </c>
      <c r="AO526" s="267">
        <f>IF(BS_CONTROLE[[#This Row],[SUB]]=0, "-", BS_CONTROLE[[#This Row],[SUB]])</f>
        <v>98</v>
      </c>
      <c r="AP526" s="268">
        <f>IF(BS_CONTROLE[[#This Row],[KM - Inicio]]=0, "-", BS_CONTROLE[[#This Row],[KM - Inicio]])</f>
        <v>662.31299999999999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>
        <f>IF(D526="","*",IFERROR(IF(ISODD(COUNT(AS526:AX526)),"ERRO",SUM((AT526-AS526),(AV526-AU526),(AX526-AW526))),"ERRO"))</f>
        <v>0</v>
      </c>
      <c r="AZ526" s="156"/>
      <c r="BA526" s="176"/>
      <c r="BB526" s="172" t="str">
        <f>IFERROR(_xlfn.XLOOKUP(AI526, BS_ATIVIDADE[ATIVIDADE],BS_ATIVIDADE[UNIDADE] ), "*")</f>
        <v>Nº DE PEÇAS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6" s="157" t="str">
        <f>IFERROR(_xlfn.XLOOKUP(AO526, BASE_MAPA!$E$2:$E$359, BASE_MAPA!$J$2:$J$359), "ERRO")</f>
        <v>ALTO ARAGUAIA - RONDONOPOLIS</v>
      </c>
      <c r="BF526" s="269" t="str">
        <f>IF(BS_CONTROLE[[#This Row],[Responsavel pelo boletim]]=0, "-", BS_CONTROLE[[#This Row],[Responsavel pelo boletim]])</f>
        <v>Camila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Produção e Intervalo</v>
      </c>
      <c r="BR526" s="18">
        <f>IF(OR(B526="",F526=""),"*",AY526/P526)</f>
        <v>0</v>
      </c>
      <c r="BS526" s="18">
        <f>IF(OR(B526="",F526=""),"*",BA526/Q526)</f>
        <v>0</v>
      </c>
      <c r="BT526" s="212" t="str">
        <f>IF(BN526="","",SUBSTITUTE(BM526," ","")&amp;SUBSTITUTE(BN526," ",""))</f>
        <v/>
      </c>
    </row>
    <row r="527" spans="1:72" hidden="1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 hidden="1">
      <c r="A528" s="161" t="str">
        <f t="shared" si="36"/>
        <v>BRUNO (TF-525)</v>
      </c>
      <c r="B528" s="162">
        <v>46055</v>
      </c>
      <c r="C528" s="342">
        <f>IF(BS_CONTROLE[[#This Row],[DATA]]="","",WEEKNUM(BS_CONTROLE[[#This Row],[DATA]]))</f>
        <v>6</v>
      </c>
      <c r="D528" s="51" t="s">
        <v>875</v>
      </c>
      <c r="E528" s="338"/>
      <c r="F528" s="166" t="s">
        <v>792</v>
      </c>
      <c r="G528" s="154" t="str">
        <f>IF(D528="","*",VLOOKUP(F528,BS_ATIVIDADE[#All],3,FALSE))</f>
        <v>SOLDA</v>
      </c>
      <c r="H528" s="193" t="str" cm="1">
        <f t="array" ref="H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528" s="158" t="s">
        <v>609</v>
      </c>
      <c r="J528" s="219">
        <v>98</v>
      </c>
      <c r="K528" s="219">
        <v>565</v>
      </c>
      <c r="L528" s="171" t="s">
        <v>609</v>
      </c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528" s="158">
        <v>0.375</v>
      </c>
      <c r="P528" s="158">
        <v>0.125</v>
      </c>
      <c r="Q528" s="171">
        <v>2</v>
      </c>
      <c r="R528" s="10" t="str">
        <f>IFERROR(_xlfn.XLOOKUP(F528, BS_ATIVIDADE[ATIVIDADE],BS_ATIVIDADE[UNIDADE] ), "*")</f>
        <v>Nº DE SOLDA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8" s="155" t="str">
        <f>IFERROR(_xlfn.XLOOKUP(J528, BASE_MAPA!$E$2:$E$359, BASE_MAPA!$J$2:$J$359), "ERRO")</f>
        <v>ALTO ARAGUAIA - RONDONOPOLIS</v>
      </c>
      <c r="V528" s="282" t="s">
        <v>1339</v>
      </c>
      <c r="W528" s="335" t="s">
        <v>1311</v>
      </c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PDM - SOLDA</v>
      </c>
      <c r="AJ528" s="9" t="str">
        <f>IF(D528="","*",VLOOKUP(AI528,BS_ATIVIDADE[#Data],3,FALSE))</f>
        <v>SOLDA</v>
      </c>
      <c r="AK528" s="283" t="str">
        <f>IF(BS_CONTROLE[[#This Row],[Local - Partida]]=0, "-", BS_CONTROLE[[#This Row],[Local - Partida]])</f>
        <v>TEP1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TEP</v>
      </c>
      <c r="AN528" s="283" t="str">
        <f>IF(BS_CONTROLE[[#This Row],[SB]]=0, "-", BS_CONTROLE[[#This Row],[SB]])</f>
        <v>TEP1</v>
      </c>
      <c r="AO528" s="267">
        <f>IF(BS_CONTROLE[[#This Row],[SUB]]=0, "-", BS_CONTROLE[[#This Row],[SUB]])</f>
        <v>98</v>
      </c>
      <c r="AP528" s="268">
        <f>IF(BS_CONTROLE[[#This Row],[KM - Inicio]]=0, "-", BS_CONTROLE[[#This Row],[KM - Inicio]])</f>
        <v>565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>
        <f>IF(D528="","*",IFERROR(IF(ISODD(COUNT(AS528:AX528)),"ERRO",SUM((AT528-AS528),(AV528-AU528),(AX528-AW528))),"ERRO"))</f>
        <v>0</v>
      </c>
      <c r="AZ528" s="156"/>
      <c r="BA528" s="176"/>
      <c r="BB528" s="172" t="str">
        <f>IFERROR(_xlfn.XLOOKUP(AI528, BS_ATIVIDADE[ATIVIDADE],BS_ATIVIDADE[UNIDADE] ), "*")</f>
        <v>Nº DE SOLDA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8" s="157" t="str">
        <f>IFERROR(_xlfn.XLOOKUP(AO528, BASE_MAPA!$E$2:$E$359, BASE_MAPA!$J$2:$J$359), "ERRO")</f>
        <v>ALTO ARAGUAIA - RONDONOPOLIS</v>
      </c>
      <c r="BF528" s="269" t="str">
        <f>IF(BS_CONTROLE[[#This Row],[Responsavel pelo boletim]]=0, "-", BS_CONTROLE[[#This Row],[Responsavel pelo boletim]])</f>
        <v>Camila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Produção e Intervalo</v>
      </c>
      <c r="BR528" s="18">
        <f>IF(OR(B528="",F528=""),"*",AY528/P528)</f>
        <v>0</v>
      </c>
      <c r="BS528" s="18">
        <f>IF(OR(B528="",F528=""),"*",BA528/Q528)</f>
        <v>0</v>
      </c>
      <c r="BT528" s="212" t="str">
        <f>IF(BN528="","",SUBSTITUTE(BM528," ","")&amp;SUBSTITUTE(BN528," ",""))</f>
        <v/>
      </c>
    </row>
    <row r="529" spans="1:72" hidden="1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 hidden="1">
      <c r="A530" s="161" t="str">
        <f t="shared" si="36"/>
        <v>ELSON (TF-526)</v>
      </c>
      <c r="B530" s="162">
        <v>46055</v>
      </c>
      <c r="C530" s="342">
        <f>IF(BS_CONTROLE[[#This Row],[DATA]]="","",WEEKNUM(BS_CONTROLE[[#This Row],[DATA]]))</f>
        <v>6</v>
      </c>
      <c r="D530" s="51" t="s">
        <v>898</v>
      </c>
      <c r="E530" s="338"/>
      <c r="F530" s="166" t="s">
        <v>792</v>
      </c>
      <c r="G530" s="154" t="str">
        <f>IF(D530="","*",VLOOKUP(F530,BS_ATIVIDADE[#All],3,FALSE))</f>
        <v>SOLDA</v>
      </c>
      <c r="H530" s="158" t="s">
        <v>593</v>
      </c>
      <c r="I530" s="158" t="s">
        <v>609</v>
      </c>
      <c r="J530" s="219">
        <v>74</v>
      </c>
      <c r="K530" s="219">
        <v>498.9</v>
      </c>
      <c r="L530" s="171" t="s">
        <v>609</v>
      </c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530" s="158">
        <v>0.41666666666666669</v>
      </c>
      <c r="P530" s="158">
        <v>8.3333333333333329E-2</v>
      </c>
      <c r="Q530" s="171">
        <v>2</v>
      </c>
      <c r="R530" s="10" t="str">
        <f>IFERROR(_xlfn.XLOOKUP(F530, BS_ATIVIDADE[ATIVIDADE],BS_ATIVIDADE[UNIDADE] ), "*")</f>
        <v>Nº DE SOLDA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30" s="155" t="str">
        <f>IFERROR(_xlfn.XLOOKUP(J530, BASE_MAPA!$E$2:$E$359, BASE_MAPA!$J$2:$J$359), "ERRO")</f>
        <v>MARCO INICIAL - ALTO ARAGUAIA</v>
      </c>
      <c r="V530" s="282" t="s">
        <v>1681</v>
      </c>
      <c r="W530" s="335" t="s">
        <v>1311</v>
      </c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PDM - SOLDA</v>
      </c>
      <c r="AJ530" s="9" t="str">
        <f>IF(D530="","*",VLOOKUP(AI530,BS_ATIVIDADE[#Data],3,FALSE))</f>
        <v>SOLDA</v>
      </c>
      <c r="AK530" s="283" t="str">
        <f>IF(BS_CONTROLE[[#This Row],[Local - Partida]]=0, "-", BS_CONTROLE[[#This Row],[Local - Partida]])</f>
        <v>499TGR1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TBR-TGR</v>
      </c>
      <c r="AN530" s="283" t="str">
        <f>IF(BS_CONTROLE[[#This Row],[SB]]=0, "-", BS_CONTROLE[[#This Row],[SB]])</f>
        <v>499TGR1</v>
      </c>
      <c r="AO530" s="267">
        <f>IF(BS_CONTROLE[[#This Row],[SUB]]=0, "-", BS_CONTROLE[[#This Row],[SUB]])</f>
        <v>74</v>
      </c>
      <c r="AP530" s="268">
        <f>IF(BS_CONTROLE[[#This Row],[KM - Inicio]]=0, "-", BS_CONTROLE[[#This Row],[KM - Inicio]])</f>
        <v>498.9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>
        <f>IF(D530="","*",IFERROR(IF(ISODD(COUNT(AS530:AX530)),"ERRO",SUM((AT530-AS530),(AV530-AU530),(AX530-AW530))),"ERRO"))</f>
        <v>0</v>
      </c>
      <c r="AZ530" s="156"/>
      <c r="BA530" s="176"/>
      <c r="BB530" s="172" t="str">
        <f>IFERROR(_xlfn.XLOOKUP(AI530, BS_ATIVIDADE[ATIVIDADE],BS_ATIVIDADE[UNIDADE] ), "*")</f>
        <v>Nº DE SOLDA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30" s="157" t="str">
        <f>IFERROR(_xlfn.XLOOKUP(AO530, BASE_MAPA!$E$2:$E$359, BASE_MAPA!$J$2:$J$359), "ERRO")</f>
        <v>MARCO INICIAL - ALTO ARAGUAIA</v>
      </c>
      <c r="BF530" s="269" t="str">
        <f>IF(BS_CONTROLE[[#This Row],[Responsavel pelo boletim]]=0, "-", BS_CONTROLE[[#This Row],[Responsavel pelo boletim]])</f>
        <v>Elson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Produção e Intervalo</v>
      </c>
      <c r="BR530" s="18">
        <f>IF(OR(B530="",F530=""),"*",AY530/P530)</f>
        <v>0</v>
      </c>
      <c r="BS530" s="18">
        <f>IF(OR(B530="",F530=""),"*",BA530/Q530)</f>
        <v>0</v>
      </c>
      <c r="BT530" s="212" t="str">
        <f>IF(BN530="","",SUBSTITUTE(BM530," ","")&amp;SUBSTITUTE(BN530," ",""))</f>
        <v/>
      </c>
    </row>
    <row r="531" spans="1:72" hidden="1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>E46</v>
      </c>
      <c r="B532" s="162">
        <v>46055</v>
      </c>
      <c r="C532" s="342">
        <f>IF(BS_CONTROLE[[#This Row],[DATA]]="","",WEEKNUM(BS_CONTROLE[[#This Row],[DATA]]))</f>
        <v>6</v>
      </c>
      <c r="D532" s="205" t="s">
        <v>757</v>
      </c>
      <c r="E532" s="343"/>
      <c r="F532" s="166" t="s">
        <v>623</v>
      </c>
      <c r="G532" s="154" t="str">
        <f>IF(D532="","*",VLOOKUP(F532,BS_ATIVIDADE[#All],3,FALSE))</f>
        <v>OUTROS</v>
      </c>
      <c r="H532" s="158" t="s">
        <v>1279</v>
      </c>
      <c r="I532" s="158" t="s">
        <v>228</v>
      </c>
      <c r="J532" s="219">
        <v>74</v>
      </c>
      <c r="K532" s="219">
        <v>291</v>
      </c>
      <c r="L532" s="171">
        <v>109.54</v>
      </c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32" s="158">
        <v>0.375</v>
      </c>
      <c r="P532" s="158">
        <v>4.1666666666666664E-2</v>
      </c>
      <c r="Q532" s="171">
        <v>1</v>
      </c>
      <c r="R532" s="10" t="str">
        <f>IFERROR(_xlfn.XLOOKUP(F532, BS_ATIVIDADE[ATIVIDADE],BS_ATIVIDADE[UNIDADE] ), "*")</f>
        <v>BINÁRIO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32" s="155" t="str">
        <f>IFERROR(_xlfn.XLOOKUP(J532, BASE_MAPA!$E$2:$E$359, BASE_MAPA!$J$2:$J$359), "ERRO")</f>
        <v>MARCO INICIAL - ALTO ARAGUAIA</v>
      </c>
      <c r="V532" s="282" t="s">
        <v>1256</v>
      </c>
      <c r="W532" s="335" t="s">
        <v>1973</v>
      </c>
      <c r="X532" s="205" t="s">
        <v>974</v>
      </c>
      <c r="Y532" s="173"/>
      <c r="Z532" s="173"/>
      <c r="AA532" s="171">
        <v>1</v>
      </c>
      <c r="AB532" s="70" t="s">
        <v>971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83" t="str">
        <f>IF(BS_CONTROLE[[#This Row],[Local - Partida]]=0, "-", BS_CONTROLE[[#This Row],[Local - Partida]])</f>
        <v>TAG</v>
      </c>
      <c r="AL532" s="283" t="str">
        <f>IF(BS_CONTROLE[[#This Row],[Local - Encerramento]]=0, "-", BS_CONTROLE[[#This Row],[Local - Encerramento]])</f>
        <v>TIN</v>
      </c>
      <c r="AM532" s="283" t="str">
        <f>IF(BS_CONTROLE[[#This Row],[Entre - Estações]]=0, "-", BS_CONTROLE[[#This Row],[Entre - Estações]])</f>
        <v>TRC</v>
      </c>
      <c r="AN532" s="283" t="str">
        <f>IF(BS_CONTROLE[[#This Row],[SB]]=0, "-", BS_CONTROLE[[#This Row],[SB]])</f>
        <v>291TRC1</v>
      </c>
      <c r="AO532" s="267">
        <f>IF(BS_CONTROLE[[#This Row],[SUB]]=0, "-", BS_CONTROLE[[#This Row],[SUB]])</f>
        <v>74</v>
      </c>
      <c r="AP532" s="268">
        <f>IF(BS_CONTROLE[[#This Row],[KM - Inicio]]=0, "-", BS_CONTROLE[[#This Row],[KM - Inicio]])</f>
        <v>291</v>
      </c>
      <c r="AQ532" s="268">
        <f>IF(BS_CONTROLE[[#This Row],[KM - Fim]]=0, "-", BS_CONTROLE[[#This Row],[KM - Fim]])</f>
        <v>109.54</v>
      </c>
      <c r="AR532" s="284"/>
      <c r="AS532" s="284"/>
      <c r="AT532" s="284"/>
      <c r="AU532" s="344"/>
      <c r="AV532" s="344"/>
      <c r="AW532" s="344"/>
      <c r="AX532" s="345"/>
      <c r="AY532" s="288">
        <f>IF(D532="","*",IFERROR(IF(ISODD(COUNT(AS532:AX532)),"ERRO",SUM((AT532-AS532),(AV532-AU532),(AX532-AW532))),"ERRO"))</f>
        <v>0</v>
      </c>
      <c r="AZ532" s="156"/>
      <c r="BA532" s="340"/>
      <c r="BB532" s="172" t="str">
        <f>IFERROR(_xlfn.XLOOKUP(AI532, BS_ATIVIDADE[ATIVIDADE],BS_ATIVIDADE[UNIDADE] ), "*")</f>
        <v>BINÁRIO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32" s="157" t="str">
        <f>IFERROR(_xlfn.XLOOKUP(AO532, BASE_MAPA!$E$2:$E$359, BASE_MAPA!$J$2:$J$359), "ERRO")</f>
        <v>MARCO INICIAL - ALTO ARAGUAIA</v>
      </c>
      <c r="BF532" s="269" t="str">
        <f>IF(BS_CONTROLE[[#This Row],[Responsavel pelo boletim]]=0, "-", BS_CONTROLE[[#This Row],[Responsavel pelo boletim]])</f>
        <v>PCM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Produção e Intervalo</v>
      </c>
      <c r="BR532" s="18">
        <f>IF(OR(B532="",F532=""),"*",AY532/P532)</f>
        <v>0</v>
      </c>
      <c r="BS532" s="18">
        <f>IF(OR(B532="",F532=""),"*",BA532/Q532)</f>
        <v>0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>MARCOS (TF-520)</v>
      </c>
      <c r="B534" s="162">
        <v>46055</v>
      </c>
      <c r="C534" s="342">
        <f>IF(BS_CONTROLE[[#This Row],[DATA]]="","",WEEKNUM(BS_CONTROLE[[#This Row],[DATA]]))</f>
        <v>6</v>
      </c>
      <c r="D534" s="205" t="s">
        <v>928</v>
      </c>
      <c r="E534" s="343"/>
      <c r="F534" s="166" t="s">
        <v>792</v>
      </c>
      <c r="G534" s="154" t="str">
        <f>IF(D534="","*",VLOOKUP(F534,BS_ATIVIDADE[#All],3,FALSE))</f>
        <v>SOLDA</v>
      </c>
      <c r="H534" s="193" t="str" cm="1">
        <f t="array" ref="H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534" s="158" t="s">
        <v>609</v>
      </c>
      <c r="J534" s="219">
        <v>74</v>
      </c>
      <c r="K534" s="219">
        <v>280.5</v>
      </c>
      <c r="L534" s="171" t="s">
        <v>609</v>
      </c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534" s="158">
        <v>0.375</v>
      </c>
      <c r="P534" s="158">
        <v>8.3333333333333329E-2</v>
      </c>
      <c r="Q534" s="171">
        <v>2</v>
      </c>
      <c r="R534" s="10" t="str">
        <f>IFERROR(_xlfn.XLOOKUP(F534, BS_ATIVIDADE[ATIVIDADE],BS_ATIVIDADE[UNIDADE] ), "*")</f>
        <v>Nº DE SOLDA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4" s="155" t="str">
        <f>IFERROR(_xlfn.XLOOKUP(J534, BASE_MAPA!$E$2:$E$359, BASE_MAPA!$J$2:$J$359), "ERRO")</f>
        <v>MARCO INICIAL - ALTO ARAGUAIA</v>
      </c>
      <c r="V534" s="282" t="s">
        <v>1286</v>
      </c>
      <c r="W534" s="335" t="s">
        <v>1311</v>
      </c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PDM - SOLDA</v>
      </c>
      <c r="AJ534" s="9" t="str">
        <f>IF(D534="","*",VLOOKUP(AI534,BS_ATIVIDADE[#Data],3,FALSE))</f>
        <v>SOLDA</v>
      </c>
      <c r="AK534" s="283" t="str">
        <f>IF(BS_CONTROLE[[#This Row],[Local - Partida]]=0, "-", BS_CONTROLE[[#This Row],[Local - Partida]])</f>
        <v>277TCS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TJA-TCS</v>
      </c>
      <c r="AN534" s="283" t="str">
        <f>IF(BS_CONTROLE[[#This Row],[SB]]=0, "-", BS_CONTROLE[[#This Row],[SB]])</f>
        <v>277TCS</v>
      </c>
      <c r="AO534" s="267">
        <f>IF(BS_CONTROLE[[#This Row],[SUB]]=0, "-", BS_CONTROLE[[#This Row],[SUB]])</f>
        <v>74</v>
      </c>
      <c r="AP534" s="268">
        <f>IF(BS_CONTROLE[[#This Row],[KM - Inicio]]=0, "-", BS_CONTROLE[[#This Row],[KM - Inicio]])</f>
        <v>280.5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>
        <f>IF(D534="","*",IFERROR(IF(ISODD(COUNT(AS534:AX534)),"ERRO",SUM((AT534-AS534),(AV534-AU534),(AX534-AW534))),"ERRO"))</f>
        <v>0</v>
      </c>
      <c r="AZ534" s="156"/>
      <c r="BA534" s="340"/>
      <c r="BB534" s="172" t="str">
        <f>IFERROR(_xlfn.XLOOKUP(AI534, BS_ATIVIDADE[ATIVIDADE],BS_ATIVIDADE[UNIDADE] ), "*")</f>
        <v>Nº DE SOLDA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4" s="157" t="str">
        <f>IFERROR(_xlfn.XLOOKUP(AO534, BASE_MAPA!$E$2:$E$359, BASE_MAPA!$J$2:$J$359), "ERRO")</f>
        <v>MARCO INICIAL - ALTO ARAGUAIA</v>
      </c>
      <c r="BF534" s="269" t="str">
        <f>IF(BS_CONTROLE[[#This Row],[Responsavel pelo boletim]]=0, "-", BS_CONTROLE[[#This Row],[Responsavel pelo boletim]])</f>
        <v>Herbert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Produção e Intervalo</v>
      </c>
      <c r="BR534" s="18">
        <f>IF(OR(B534="",F534=""),"*",AY534/P534)</f>
        <v>0</v>
      </c>
      <c r="BS534" s="18">
        <f>IF(OR(B534="",F534=""),"*",BA534/Q534)</f>
        <v>0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63" priority="18471" operator="equal">
      <formula>"ERRO"</formula>
    </cfRule>
  </conditionalFormatting>
  <conditionalFormatting sqref="X4 Y1:Z368 Y369:Y446">
    <cfRule type="cellIs" dxfId="162" priority="18460" operator="equal">
      <formula>"OPORTUNIDADE"</formula>
    </cfRule>
  </conditionalFormatting>
  <conditionalFormatting sqref="AZ6:AZ416">
    <cfRule type="expression" dxfId="161" priority="18455">
      <formula>$BU6=1</formula>
    </cfRule>
  </conditionalFormatting>
  <conditionalFormatting sqref="BQ6:BQ650">
    <cfRule type="cellIs" dxfId="160" priority="18466" operator="equal">
      <formula>"Produção e Intervalo"</formula>
    </cfRule>
    <cfRule type="cellIs" dxfId="159" priority="18467" operator="equal">
      <formula>"Aderente"</formula>
    </cfRule>
    <cfRule type="cellIs" dxfId="158" priority="18468" operator="equal">
      <formula>"Intervalo"</formula>
    </cfRule>
    <cfRule type="cellIs" dxfId="157" priority="18469" operator="equal">
      <formula>"Produção"</formula>
    </cfRule>
    <cfRule type="cellIs" dxfId="156" priority="18470" operator="equal">
      <formula>"ERRO"</formula>
    </cfRule>
  </conditionalFormatting>
  <conditionalFormatting sqref="BR6:BS650">
    <cfRule type="cellIs" dxfId="155" priority="18448" operator="equal">
      <formula>"*"</formula>
    </cfRule>
    <cfRule type="cellIs" dxfId="154" priority="18449" operator="greaterThanOrEqual">
      <formula>1</formula>
    </cfRule>
    <cfRule type="cellIs" dxfId="153" priority="18450" operator="lessThan">
      <formula>1</formula>
    </cfRule>
  </conditionalFormatting>
  <conditionalFormatting sqref="Y6:Z368 X370:X416 X418 X420 Y369:Y446">
    <cfRule type="cellIs" dxfId="152" priority="18396" operator="equal">
      <formula>"NÃO"</formula>
    </cfRule>
    <cfRule type="cellIs" dxfId="151" priority="18397" operator="equal">
      <formula>"SIM"</formula>
    </cfRule>
  </conditionalFormatting>
  <conditionalFormatting sqref="X370:X416 X418 X420">
    <cfRule type="cellIs" dxfId="150" priority="18395" operator="equal">
      <formula>"OPORTUNIDADE"</formula>
    </cfRule>
  </conditionalFormatting>
  <conditionalFormatting sqref="Z369:Z416">
    <cfRule type="cellIs" dxfId="149" priority="18393" operator="equal">
      <formula>"NÃO"</formula>
    </cfRule>
    <cfRule type="cellIs" dxfId="148" priority="18394" operator="equal">
      <formula>"SIM"</formula>
    </cfRule>
  </conditionalFormatting>
  <conditionalFormatting sqref="Z369:Z416">
    <cfRule type="cellIs" dxfId="147" priority="18392" operator="equal">
      <formula>"OPORTUNIDADE"</formula>
    </cfRule>
  </conditionalFormatting>
  <conditionalFormatting sqref="Y1048507:Y1048576">
    <cfRule type="cellIs" dxfId="146" priority="18277" operator="equal">
      <formula>"OPORTUNIDADE"</formula>
    </cfRule>
  </conditionalFormatting>
  <conditionalFormatting sqref="Y1048507:Y1048576">
    <cfRule type="cellIs" dxfId="145" priority="18275" operator="equal">
      <formula>"NÃO"</formula>
    </cfRule>
    <cfRule type="cellIs" dxfId="144" priority="18276" operator="equal">
      <formula>"SIM"</formula>
    </cfRule>
  </conditionalFormatting>
  <conditionalFormatting sqref="Z417:Z444">
    <cfRule type="cellIs" dxfId="143" priority="18012" operator="equal">
      <formula>"OPORTUNIDADE"</formula>
    </cfRule>
  </conditionalFormatting>
  <conditionalFormatting sqref="Z417:Z444">
    <cfRule type="cellIs" dxfId="142" priority="18010" operator="equal">
      <formula>"NÃO"</formula>
    </cfRule>
    <cfRule type="cellIs" dxfId="141" priority="18011" operator="equal">
      <formula>"SIM"</formula>
    </cfRule>
  </conditionalFormatting>
  <conditionalFormatting sqref="Z443">
    <cfRule type="cellIs" dxfId="140" priority="17995" operator="equal">
      <formula>"NÃO"</formula>
    </cfRule>
    <cfRule type="cellIs" dxfId="139" priority="17996" operator="equal">
      <formula>"SIM"</formula>
    </cfRule>
  </conditionalFormatting>
  <conditionalFormatting sqref="Z443">
    <cfRule type="cellIs" dxfId="138" priority="17994" operator="equal">
      <formula>"OPORTUNIDADE"</formula>
    </cfRule>
  </conditionalFormatting>
  <conditionalFormatting sqref="BI443">
    <cfRule type="iconSet" priority="1800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4">
      <formula>$BU386=1</formula>
    </cfRule>
  </conditionalFormatting>
  <conditionalFormatting sqref="AZ419:AZ443">
    <cfRule type="expression" dxfId="136" priority="18774">
      <formula>$BU391=1</formula>
    </cfRule>
  </conditionalFormatting>
  <conditionalFormatting sqref="BI417:BI442"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10">
      <iconSet showValue="0">
        <cfvo type="percent" val="0"/>
        <cfvo type="num" val="1"/>
        <cfvo type="num" val="1" gte="0"/>
      </iconSet>
    </cfRule>
    <cfRule type="iconSet" priority="207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4" operator="equal">
      <formula>"OPORTUNIDADE"</formula>
    </cfRule>
  </conditionalFormatting>
  <conditionalFormatting sqref="Y464:Y466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50">
    <cfRule type="cellIs" dxfId="132" priority="31" operator="equal">
      <formula>"OPORTUNIDADE"</formula>
    </cfRule>
  </conditionalFormatting>
  <conditionalFormatting sqref="Y45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53">
    <cfRule type="cellIs" dxfId="129" priority="28" operator="equal">
      <formula>"OPORTUNIDADE"</formula>
    </cfRule>
  </conditionalFormatting>
  <conditionalFormatting sqref="Y453">
    <cfRule type="cellIs" dxfId="128" priority="26" operator="equal">
      <formula>"NÃO"</formula>
    </cfRule>
    <cfRule type="cellIs" dxfId="127" priority="27" operator="equal">
      <formula>"SIM"</formula>
    </cfRule>
  </conditionalFormatting>
  <conditionalFormatting sqref="Y458">
    <cfRule type="cellIs" dxfId="126" priority="25" operator="equal">
      <formula>"OPORTUNIDADE"</formula>
    </cfRule>
  </conditionalFormatting>
  <conditionalFormatting sqref="Y458">
    <cfRule type="cellIs" dxfId="125" priority="23" operator="equal">
      <formula>"NÃO"</formula>
    </cfRule>
    <cfRule type="cellIs" dxfId="124" priority="24" operator="equal">
      <formula>"SIM"</formula>
    </cfRule>
  </conditionalFormatting>
  <conditionalFormatting sqref="Y457 Y455">
    <cfRule type="cellIs" dxfId="123" priority="22" operator="equal">
      <formula>"OPORTUNIDADE"</formula>
    </cfRule>
  </conditionalFormatting>
  <conditionalFormatting sqref="Y457 Y455">
    <cfRule type="cellIs" dxfId="122" priority="20" operator="equal">
      <formula>"NÃO"</formula>
    </cfRule>
    <cfRule type="cellIs" dxfId="121" priority="21" operator="equal">
      <formula>"SIM"</formula>
    </cfRule>
  </conditionalFormatting>
  <conditionalFormatting sqref="Y462 Y460">
    <cfRule type="cellIs" dxfId="120" priority="19" operator="equal">
      <formula>"OPORTUNIDADE"</formula>
    </cfRule>
  </conditionalFormatting>
  <conditionalFormatting sqref="Y462 Y460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Y469">
    <cfRule type="cellIs" dxfId="117" priority="13" operator="equal">
      <formula>"OPORTUNIDADE"</formula>
    </cfRule>
  </conditionalFormatting>
  <conditionalFormatting sqref="Y469">
    <cfRule type="cellIs" dxfId="116" priority="11" operator="equal">
      <formula>"NÃO"</formula>
    </cfRule>
    <cfRule type="cellIs" dxfId="115" priority="12" operator="equal">
      <formula>"SIM"</formula>
    </cfRule>
  </conditionalFormatting>
  <conditionalFormatting sqref="Y476:Y480 Y470:Y473">
    <cfRule type="cellIs" dxfId="114" priority="10" operator="equal">
      <formula>"OPORTUNIDADE"</formula>
    </cfRule>
  </conditionalFormatting>
  <conditionalFormatting sqref="Y476:Y480 Y470:Y473">
    <cfRule type="cellIs" dxfId="113" priority="8" operator="equal">
      <formula>"NÃO"</formula>
    </cfRule>
    <cfRule type="cellIs" dxfId="112" priority="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7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0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72">
      <iconSet showValue="0">
        <cfvo type="percent" val="0"/>
        <cfvo type="num" val="1"/>
        <cfvo type="num" val="1" gte="0"/>
      </iconSet>
    </cfRule>
    <cfRule type="iconSet" priority="2167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7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7" operator="equal">
      <formula>"OPORTUNIDADE"</formula>
    </cfRule>
  </conditionalFormatting>
  <conditionalFormatting sqref="Y484">
    <cfRule type="cellIs" dxfId="110" priority="5" operator="equal">
      <formula>"NÃO"</formula>
    </cfRule>
    <cfRule type="cellIs" dxfId="109" priority="6" operator="equal">
      <formula>"SIM"</formula>
    </cfRule>
  </conditionalFormatting>
  <conditionalFormatting sqref="Y504 Y501 Y499 Y496:Y497 Y494 Y491 Y486:Y489">
    <cfRule type="cellIs" dxfId="108" priority="4" operator="equal">
      <formula>"OPORTUNIDADE"</formula>
    </cfRule>
  </conditionalFormatting>
  <conditionalFormatting sqref="Y504 Y501 Y499 Y496:Y497 Y494 Y491 Y486:Y489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4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1974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703</v>
      </c>
      <c r="D3" s="291" t="s">
        <v>1975</v>
      </c>
      <c r="E3" s="291" t="s">
        <v>1976</v>
      </c>
      <c r="F3" s="291" t="s">
        <v>1977</v>
      </c>
      <c r="G3" s="291" t="s">
        <v>1978</v>
      </c>
      <c r="H3" s="291" t="s">
        <v>1979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1980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1981</v>
      </c>
      <c r="G10" s="292" t="s">
        <v>1982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1983</v>
      </c>
      <c r="G11" s="292" t="s">
        <v>1984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1985</v>
      </c>
      <c r="G12" s="292" t="s">
        <v>1984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1986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1987</v>
      </c>
      <c r="C4" s="296" t="s">
        <v>1988</v>
      </c>
      <c r="D4" s="296" t="s">
        <v>1989</v>
      </c>
      <c r="E4" s="296" t="s">
        <v>1990</v>
      </c>
      <c r="F4" s="296" t="s">
        <v>7</v>
      </c>
      <c r="G4" s="296" t="s">
        <v>1991</v>
      </c>
      <c r="H4" s="181"/>
    </row>
    <row r="5" spans="1:8">
      <c r="A5" s="181"/>
      <c r="B5" s="297" t="s">
        <v>1992</v>
      </c>
      <c r="C5" s="297">
        <v>309525</v>
      </c>
      <c r="D5" s="297" t="s">
        <v>1993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1994</v>
      </c>
      <c r="C6" s="297">
        <v>257410</v>
      </c>
      <c r="D6" s="297" t="s">
        <v>1995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1996</v>
      </c>
      <c r="C7" s="297">
        <v>256875</v>
      </c>
      <c r="D7" s="297" t="s">
        <v>1997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1998</v>
      </c>
      <c r="C8" s="297">
        <v>257278</v>
      </c>
      <c r="D8" s="297" t="s">
        <v>1999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2000</v>
      </c>
      <c r="C9" s="297">
        <v>261794</v>
      </c>
      <c r="D9" s="297" t="s">
        <v>2001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2002</v>
      </c>
      <c r="C10" s="297">
        <v>257033</v>
      </c>
      <c r="D10" s="297" t="s">
        <v>2003</v>
      </c>
      <c r="E10" s="297" t="s">
        <v>838</v>
      </c>
      <c r="F10" s="297" t="s">
        <v>194</v>
      </c>
      <c r="G10" s="297" t="s">
        <v>2004</v>
      </c>
      <c r="H10" s="181"/>
    </row>
    <row r="11" spans="1:8">
      <c r="A11" s="181"/>
      <c r="B11" s="297" t="s">
        <v>2005</v>
      </c>
      <c r="C11" s="297">
        <v>396578</v>
      </c>
      <c r="D11" s="297" t="s">
        <v>2006</v>
      </c>
      <c r="E11" s="297" t="s">
        <v>838</v>
      </c>
      <c r="F11" s="297" t="s">
        <v>194</v>
      </c>
      <c r="G11" s="297" t="s">
        <v>2004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sqref="A1:U5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2007</v>
      </c>
      <c r="W1" s="385"/>
      <c r="X1" s="385"/>
      <c r="Y1" s="103"/>
    </row>
    <row r="2" spans="1:25" s="100" customFormat="1" ht="11.25" customHeight="1">
      <c r="A2" s="104" t="s">
        <v>2008</v>
      </c>
      <c r="B2" s="104" t="s">
        <v>2009</v>
      </c>
      <c r="C2" s="104" t="s">
        <v>605</v>
      </c>
      <c r="D2" s="105" t="s">
        <v>1179</v>
      </c>
      <c r="E2" s="105" t="s">
        <v>1180</v>
      </c>
      <c r="F2" s="105" t="s">
        <v>2010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2011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*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*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FERRONORTE</v>
      </c>
      <c r="E523" s="109" t="str">
        <f>IF(FN_MC!T522="","*",FN_MC!T522)</f>
        <v>TGR-TRO</v>
      </c>
      <c r="F523" s="109">
        <f>IF(FN_MC!B522="","*",FN_MC!B522)</f>
        <v>46055</v>
      </c>
      <c r="G523" s="109" t="str">
        <f>IF(FN_MC!D522="","*",FN_MC!D522)</f>
        <v>V86</v>
      </c>
      <c r="H523" s="109" t="str">
        <f>IF(FN_MC!F522="","*",FN_MC!F522)</f>
        <v>MECANIZAÇÃO - SOCADORA</v>
      </c>
      <c r="I523" s="109" t="str">
        <f>IF(FN_MC!H522="","*",FN_MC!H522)</f>
        <v>TSF</v>
      </c>
      <c r="J523" s="109" t="str">
        <f>IF(FN_MC!I522="","*",FN_MC!I522)</f>
        <v>TSF</v>
      </c>
      <c r="K523" s="109" t="str">
        <f>IF(FN_MC!M522="","*",FN_MC!M522)</f>
        <v>TAL-TSF</v>
      </c>
      <c r="L523" s="303">
        <f>IF(FN_MC!N522="","*",FN_MC!N522)</f>
        <v>699710</v>
      </c>
      <c r="M523" s="110">
        <f>IF(FN_MC!J522="","*",FN_MC!J522)</f>
        <v>98</v>
      </c>
      <c r="N523" s="278">
        <f>IF(FN_MC!K522="","*",FN_MC!K522)</f>
        <v>710</v>
      </c>
      <c r="O523" s="278">
        <f>IF(FN_MC!L522="","*",FN_MC!L522)</f>
        <v>719</v>
      </c>
      <c r="P523" s="110"/>
      <c r="Q523" s="127">
        <f>IF(FN_MC!O522="","*",FN_MC!O522)</f>
        <v>0.4375</v>
      </c>
      <c r="R523" s="127">
        <f>IF(FN_MC!P522="","*",FN_MC!P522)</f>
        <v>8.3333333333333329E-2</v>
      </c>
      <c r="S523" s="109" t="str">
        <f>IF(FN_MC!Q522="","*",CONCATENATE(FN_MC!Q522," ",FN_MC!R522))</f>
        <v>1120 M</v>
      </c>
      <c r="T523" s="109" t="str">
        <f>IF(FN_MC!V522="","*",FN_MC!V522)</f>
        <v>Antonioni</v>
      </c>
      <c r="U523" s="109" t="str">
        <f>IF(FN_MC!W522="","*",FN_MC!W522)</f>
        <v>Socaria mecanizada</v>
      </c>
      <c r="V523" s="111">
        <f ca="1">_xlfn.XLOOKUP(G523&amp;$V$2,BS_CONTROLE[CHAVE],BS_CONTROLE[Quantidade_11],"-")</f>
        <v>3168</v>
      </c>
      <c r="W523" s="111">
        <f ca="1">_xlfn.XLOOKUP(G523&amp;$W$2,BS_CONTROLE[CHAVE],BS_CONTROLE[Quantidade_11],"-")</f>
        <v>3200</v>
      </c>
      <c r="X523" s="111">
        <f ca="1">_xlfn.XLOOKUP(G523&amp;$X$2,BS_CONTROLE[CHAVE],BS_CONTROLE[Quantidade_11],"-")</f>
        <v>800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FERRONORTE</v>
      </c>
      <c r="E525" s="109" t="str">
        <f>IF(FN_MC!T524="","*",FN_MC!T524)</f>
        <v>TGR-TRO</v>
      </c>
      <c r="F525" s="109">
        <f>IF(FN_MC!B524="","*",FN_MC!B524)</f>
        <v>46055</v>
      </c>
      <c r="G525" s="109" t="str">
        <f>IF(FN_MC!D524="","*",FN_MC!D524)</f>
        <v>W70</v>
      </c>
      <c r="H525" s="109" t="str">
        <f>IF(FN_MC!F524="","*",FN_MC!F524)</f>
        <v>PDM - PEDRA - DESCARGA</v>
      </c>
      <c r="I525" s="109" t="str">
        <f>IF(FN_MC!H524="","*",FN_MC!H524)</f>
        <v>TGR2</v>
      </c>
      <c r="J525" s="109" t="str">
        <f>IF(FN_MC!I524="","*",FN_MC!I524)</f>
        <v>TGR2</v>
      </c>
      <c r="K525" s="109" t="str">
        <f>IF(FN_MC!M524="","*",FN_MC!M524)</f>
        <v>TAL-TSF</v>
      </c>
      <c r="L525" s="303">
        <f>IF(FN_MC!N524="","*",FN_MC!N524)</f>
        <v>699710</v>
      </c>
      <c r="M525" s="110">
        <f>IF(FN_MC!J524="","*",FN_MC!J524)</f>
        <v>98</v>
      </c>
      <c r="N525" s="278">
        <f>IF(FN_MC!K524="","*",FN_MC!K524)</f>
        <v>703</v>
      </c>
      <c r="O525" s="278">
        <f>IF(FN_MC!L524="","*",FN_MC!L524)</f>
        <v>706</v>
      </c>
      <c r="P525" s="110"/>
      <c r="Q525" s="127">
        <f>IF(FN_MC!O524="","*",FN_MC!O524)</f>
        <v>0.41666666666666669</v>
      </c>
      <c r="R525" s="127">
        <f>IF(FN_MC!P524="","*",FN_MC!P524)</f>
        <v>0.125</v>
      </c>
      <c r="S525" s="109" t="str">
        <f>IF(FN_MC!Q524="","*",CONCATENATE(FN_MC!Q524," ",FN_MC!R524))</f>
        <v>28 VAGÕES</v>
      </c>
      <c r="T525" s="109" t="str">
        <f>IF(FN_MC!V524="","*",FN_MC!V524)</f>
        <v>Camila</v>
      </c>
      <c r="U525" s="109" t="str">
        <f>IF(FN_MC!W524="","*",FN_MC!W524)</f>
        <v>Descarga de brita</v>
      </c>
      <c r="V525" s="111">
        <f ca="1">_xlfn.XLOOKUP(G525&amp;$V$2,BS_CONTROLE[CHAVE],BS_CONTROLE[Quantidade_11],"-")</f>
        <v>28</v>
      </c>
      <c r="W525" s="111" t="str">
        <f ca="1">_xlfn.XLOOKUP(G525&amp;$W$2,BS_CONTROLE[CHAVE],BS_CONTROLE[Quantidade_11],"-")</f>
        <v>-</v>
      </c>
      <c r="X525" s="111">
        <f ca="1">_xlfn.XLOOKUP(G525&amp;$X$2,BS_CONTROLE[CHAVE],BS_CONTROLE[Quantidade_11],"-")</f>
        <v>27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FERRONORTE</v>
      </c>
      <c r="E527" s="109" t="str">
        <f>IF(FN_MC!T526="","*",FN_MC!T526)</f>
        <v>TGR-TRO</v>
      </c>
      <c r="F527" s="109">
        <f>IF(FN_MC!B526="","*",FN_MC!B526)</f>
        <v>46055</v>
      </c>
      <c r="G527" s="109" t="str">
        <f>IF(FN_MC!D526="","*",FN_MC!D526)</f>
        <v>FRANCISCO (TF-19)</v>
      </c>
      <c r="H527" s="109" t="str">
        <f>IF(FN_MC!F526="","*",FN_MC!F526)</f>
        <v>PDM - AMV - MEIA CHAVE</v>
      </c>
      <c r="I527" s="109" t="str">
        <f>IF(FN_MC!H526="","*",FN_MC!H526)</f>
        <v>TBSNORTE</v>
      </c>
      <c r="J527" s="109" t="str">
        <f>IF(FN_MC!I526="","*",FN_MC!I526)</f>
        <v>-</v>
      </c>
      <c r="K527" s="109" t="str">
        <f>IF(FN_MC!M526="","*",FN_MC!M526)</f>
        <v>TBS</v>
      </c>
      <c r="L527" s="303" t="str">
        <f>IF(FN_MC!N526="","*",FN_MC!N526)</f>
        <v>TBSNORTE</v>
      </c>
      <c r="M527" s="110">
        <f>IF(FN_MC!J526="","*",FN_MC!J526)</f>
        <v>98</v>
      </c>
      <c r="N527" s="278">
        <f>IF(FN_MC!K526="","*",FN_MC!K526)</f>
        <v>662.31299999999999</v>
      </c>
      <c r="O527" s="278" t="str">
        <f>IF(FN_MC!L526="","*",FN_MC!L526)</f>
        <v>-</v>
      </c>
      <c r="P527" s="110"/>
      <c r="Q527" s="127">
        <f>IF(FN_MC!O526="","*",FN_MC!O526)</f>
        <v>0.375</v>
      </c>
      <c r="R527" s="127">
        <f>IF(FN_MC!P526="","*",FN_MC!P526)</f>
        <v>0.125</v>
      </c>
      <c r="S527" s="109" t="str">
        <f>IF(FN_MC!Q526="","*",CONCATENATE(FN_MC!Q526," ",FN_MC!R526))</f>
        <v>1 Nº DE PEÇAS</v>
      </c>
      <c r="T527" s="109" t="str">
        <f>IF(FN_MC!V526="","*",FN_MC!V526)</f>
        <v>Camila</v>
      </c>
      <c r="U527" s="109" t="str">
        <f>IF(FN_MC!W526="","*",FN_MC!W526)</f>
        <v>Troca de meia chave TBS norte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FERRONORTE</v>
      </c>
      <c r="E529" s="109" t="str">
        <f>IF(FN_MC!T528="","*",FN_MC!T528)</f>
        <v>TGR-TRO</v>
      </c>
      <c r="F529" s="109">
        <f>IF(FN_MC!B528="","*",FN_MC!B528)</f>
        <v>46055</v>
      </c>
      <c r="G529" s="109" t="str">
        <f>IF(FN_MC!D528="","*",FN_MC!D528)</f>
        <v>BRUNO (TF-525)</v>
      </c>
      <c r="H529" s="109" t="str">
        <f>IF(FN_MC!F528="","*",FN_MC!F528)</f>
        <v>PDM - SOLDA</v>
      </c>
      <c r="I529" s="109" t="str">
        <f>IF(FN_MC!H528="","*",FN_MC!H528)</f>
        <v>TEP1</v>
      </c>
      <c r="J529" s="109" t="str">
        <f>IF(FN_MC!I528="","*",FN_MC!I528)</f>
        <v>-</v>
      </c>
      <c r="K529" s="109" t="str">
        <f>IF(FN_MC!M528="","*",FN_MC!M528)</f>
        <v>TEP</v>
      </c>
      <c r="L529" s="303" t="str">
        <f>IF(FN_MC!N528="","*",FN_MC!N528)</f>
        <v>TEP1</v>
      </c>
      <c r="M529" s="110">
        <f>IF(FN_MC!J528="","*",FN_MC!J528)</f>
        <v>98</v>
      </c>
      <c r="N529" s="278">
        <f>IF(FN_MC!K528="","*",FN_MC!K528)</f>
        <v>565</v>
      </c>
      <c r="O529" s="278" t="str">
        <f>IF(FN_MC!L528="","*",FN_MC!L528)</f>
        <v>-</v>
      </c>
      <c r="P529" s="110"/>
      <c r="Q529" s="127">
        <f>IF(FN_MC!O528="","*",FN_MC!O528)</f>
        <v>0.375</v>
      </c>
      <c r="R529" s="127">
        <f>IF(FN_MC!P528="","*",FN_MC!P528)</f>
        <v>0.125</v>
      </c>
      <c r="S529" s="109" t="str">
        <f>IF(FN_MC!Q528="","*",CONCATENATE(FN_MC!Q528," ",FN_MC!R528))</f>
        <v>2 Nº DE SOLDA</v>
      </c>
      <c r="T529" s="109" t="str">
        <f>IF(FN_MC!V528="","*",FN_MC!V528)</f>
        <v>Camila</v>
      </c>
      <c r="U529" s="109" t="str">
        <f>IF(FN_MC!W528="","*",FN_MC!W528)</f>
        <v>Execução de solda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2012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2013</v>
      </c>
      <c r="C2" s="95" t="s">
        <v>1164</v>
      </c>
      <c r="D2" s="95" t="s">
        <v>1166</v>
      </c>
      <c r="E2" s="95" t="s">
        <v>2014</v>
      </c>
      <c r="F2" s="95" t="s">
        <v>2015</v>
      </c>
      <c r="G2" s="95" t="s">
        <v>2016</v>
      </c>
      <c r="H2" s="95" t="s">
        <v>2017</v>
      </c>
      <c r="I2" s="95" t="s">
        <v>2018</v>
      </c>
      <c r="J2" s="95" t="s">
        <v>2019</v>
      </c>
      <c r="K2" s="130" t="s">
        <v>2020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>
        <f>IF(FN_MC!B522="","*",FN_MC!B522)</f>
        <v>46055</v>
      </c>
      <c r="D520" s="120" t="str">
        <f>IF(FN_MC!D522="","*",FN_MC!D522)</f>
        <v>V86</v>
      </c>
      <c r="E520" s="120" t="str">
        <f>IF(FN_MC!H522="","*",FN_MC!H522)</f>
        <v>TSF</v>
      </c>
      <c r="F520" s="136" t="str">
        <f>IF(FN_MC!M522="","*",FN_MC!M522)</f>
        <v>TAL-TSF</v>
      </c>
      <c r="G520" s="120" t="str">
        <f>IF(FN_MC!I522="","*",FN_MC!I522)</f>
        <v>TSF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>
        <f>IF(FN_MC!B524="","*",FN_MC!B524)</f>
        <v>46055</v>
      </c>
      <c r="D522" s="120" t="str">
        <f>IF(FN_MC!D524="","*",FN_MC!D524)</f>
        <v>W70</v>
      </c>
      <c r="E522" s="120" t="str">
        <f>IF(FN_MC!H524="","*",FN_MC!H524)</f>
        <v>TGR2</v>
      </c>
      <c r="F522" s="136" t="str">
        <f>IF(FN_MC!M524="","*",FN_MC!M524)</f>
        <v>TAL-TSF</v>
      </c>
      <c r="G522" s="120" t="str">
        <f>IF(FN_MC!I524="","*",FN_MC!I524)</f>
        <v>TGR2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>
        <f>IF(FN_MC!B526="","*",FN_MC!B526)</f>
        <v>46055</v>
      </c>
      <c r="D524" s="120" t="str">
        <f>IF(FN_MC!D526="","*",FN_MC!D526)</f>
        <v>FRANCISCO (TF-19)</v>
      </c>
      <c r="E524" s="120" t="str">
        <f>IF(FN_MC!H526="","*",FN_MC!H526)</f>
        <v>TBSNORTE</v>
      </c>
      <c r="F524" s="136" t="str">
        <f>IF(FN_MC!M526="","*",FN_MC!M526)</f>
        <v>TBS</v>
      </c>
      <c r="G524" s="120" t="str">
        <f>IF(FN_MC!I526="","*",FN_MC!I526)</f>
        <v>-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>
        <f>IF(FN_MC!B528="","*",FN_MC!B528)</f>
        <v>46055</v>
      </c>
      <c r="D526" s="120" t="str">
        <f>IF(FN_MC!D528="","*",FN_MC!D528)</f>
        <v>BRUNO (TF-525)</v>
      </c>
      <c r="E526" s="120" t="str">
        <f>IF(FN_MC!H528="","*",FN_MC!H528)</f>
        <v>TEP1</v>
      </c>
      <c r="F526" s="136" t="str">
        <f>IF(FN_MC!M528="","*",FN_MC!M528)</f>
        <v>TEP</v>
      </c>
      <c r="G526" s="120" t="str">
        <f>IF(FN_MC!I528="","*",FN_MC!I528)</f>
        <v>-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>
        <f>IF(FN_MC!B530="","*",FN_MC!B530)</f>
        <v>46055</v>
      </c>
      <c r="D528" s="120" t="str">
        <f>IF(FN_MC!D530="","*",FN_MC!D530)</f>
        <v>ELSON (TF-526)</v>
      </c>
      <c r="E528" s="120" t="str">
        <f>IF(FN_MC!H530="","*",FN_MC!H530)</f>
        <v>499TGR1</v>
      </c>
      <c r="F528" s="136" t="str">
        <f>IF(FN_MC!M530="","*",FN_MC!M530)</f>
        <v>TBR-TGR</v>
      </c>
      <c r="G528" s="120" t="str">
        <f>IF(FN_MC!I530="","*",FN_MC!I530)</f>
        <v>-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>
        <f>IF(FN_MC!B532="","*",FN_MC!B532)</f>
        <v>46055</v>
      </c>
      <c r="D530" s="120" t="str">
        <f>IF(FN_MC!D532="","*",FN_MC!D532)</f>
        <v>E46</v>
      </c>
      <c r="E530" s="120" t="str">
        <f>IF(FN_MC!H532="","*",FN_MC!H532)</f>
        <v>TAG</v>
      </c>
      <c r="F530" s="136" t="str">
        <f>IF(FN_MC!M532="","*",FN_MC!M532)</f>
        <v>TRC</v>
      </c>
      <c r="G530" s="120" t="str">
        <f>IF(FN_MC!I532="","*",FN_MC!I532)</f>
        <v>TIN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>
        <f>IF(FN_MC!B534="","*",FN_MC!B534)</f>
        <v>46055</v>
      </c>
      <c r="D532" s="120" t="str">
        <f>IF(FN_MC!D534="","*",FN_MC!D534)</f>
        <v>MARCOS (TF-520)</v>
      </c>
      <c r="E532" s="120" t="str">
        <f>IF(FN_MC!H534="","*",FN_MC!H534)</f>
        <v>277TCS</v>
      </c>
      <c r="F532" s="136" t="str">
        <f>IF(FN_MC!M534="","*",FN_MC!M534)</f>
        <v>TJA-TCS</v>
      </c>
      <c r="G532" s="120" t="str">
        <f>IF(FN_MC!I534="","*",FN_MC!I534)</f>
        <v>-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2021</v>
      </c>
      <c r="D5" s="387"/>
      <c r="E5" s="387"/>
      <c r="F5" s="387"/>
      <c r="G5" s="387"/>
      <c r="H5" s="387"/>
      <c r="I5" s="387"/>
      <c r="J5" s="388"/>
      <c r="K5" s="389" t="s">
        <v>2022</v>
      </c>
      <c r="L5" s="390"/>
      <c r="M5" s="390"/>
      <c r="N5" s="390"/>
      <c r="O5" s="391" t="s">
        <v>2023</v>
      </c>
      <c r="P5" s="392"/>
      <c r="Q5" s="393"/>
    </row>
    <row r="6" spans="1:17" s="93" customFormat="1" ht="15.75" customHeight="1">
      <c r="A6" s="87" t="s">
        <v>2010</v>
      </c>
      <c r="B6" s="94" t="s">
        <v>2009</v>
      </c>
      <c r="C6" s="95" t="s">
        <v>1179</v>
      </c>
      <c r="D6" s="96" t="s">
        <v>1180</v>
      </c>
      <c r="E6" s="95" t="s">
        <v>2024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2025</v>
      </c>
      <c r="M6" s="138" t="s">
        <v>628</v>
      </c>
      <c r="N6" s="139" t="s">
        <v>1174</v>
      </c>
      <c r="O6" s="233" t="s">
        <v>1217</v>
      </c>
      <c r="P6" s="152"/>
      <c r="Q6" s="182" t="s">
        <v>2026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>
        <f>IF(FN_MC!B532="","*",FN_MC!B532)</f>
        <v>46055</v>
      </c>
      <c r="B583" s="98" t="str">
        <f>IF(FN_MC!X532="","*",FN_MC!X532)</f>
        <v>Oportunidade</v>
      </c>
      <c r="C583" s="99" t="str">
        <f>IF(FN_MC!S532="","*",FN_MC!S532)</f>
        <v>FERRONORTE</v>
      </c>
      <c r="D583" s="99" t="str">
        <f>IF(FN_MC!T532="","*",FN_MC!T532)</f>
        <v>TCS-TGR</v>
      </c>
      <c r="E583" s="99" t="str">
        <f>IF(FN_MC!D532="","*",FN_MC!D532)</f>
        <v>E46</v>
      </c>
      <c r="F583" s="99" t="str">
        <f>IF(FN_MC!H532="","*",FN_MC!H532)</f>
        <v>TAG</v>
      </c>
      <c r="G583" s="99" t="str">
        <f>IF(FN_MC!M532="","*",FN_MC!M532)</f>
        <v>TRC</v>
      </c>
      <c r="H583" s="149">
        <f>IF(FN_MC!K532="","*",FN_MC!K532)</f>
        <v>291</v>
      </c>
      <c r="I583" s="131">
        <f>IF(FN_MC!O532="","*",FN_MC!O532)</f>
        <v>0.375</v>
      </c>
      <c r="J583" s="131">
        <f>IF(FN_MC!P532="","*",FN_MC!P532)</f>
        <v>4.1666666666666664E-2</v>
      </c>
      <c r="K583" s="140" t="str">
        <f>IF(FN_MC!AK532="","*",FN_MC!AK532)</f>
        <v>TAG</v>
      </c>
      <c r="L583" s="140" t="str">
        <f>IF(FN_MC!AM532="","*",FN_MC!AM532)</f>
        <v>TRC</v>
      </c>
      <c r="M583" s="140">
        <f>IF(FN_MC!AP532="","*",FN_MC!AP532)</f>
        <v>291</v>
      </c>
      <c r="N583" s="140" t="str">
        <f>IF(FN_MC!AM532="","*",FN_MC!AM532)</f>
        <v>TRC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>
        <f>IF(FN_MC!B534="","*",FN_MC!B534)</f>
        <v>46055</v>
      </c>
      <c r="B585" s="98" t="str">
        <f>IF(FN_MC!X534="","*",FN_MC!X534)</f>
        <v>*</v>
      </c>
      <c r="C585" s="99" t="str">
        <f>IF(FN_MC!S534="","*",FN_MC!S534)</f>
        <v>FERRONORTE</v>
      </c>
      <c r="D585" s="99" t="str">
        <f>IF(FN_MC!T534="","*",FN_MC!T534)</f>
        <v>TMI-TCS</v>
      </c>
      <c r="E585" s="99" t="str">
        <f>IF(FN_MC!D534="","*",FN_MC!D534)</f>
        <v>MARCOS (TF-520)</v>
      </c>
      <c r="F585" s="99" t="str">
        <f>IF(FN_MC!H534="","*",FN_MC!H534)</f>
        <v>277TCS</v>
      </c>
      <c r="G585" s="99" t="str">
        <f>IF(FN_MC!M534="","*",FN_MC!M534)</f>
        <v>TJA-TCS</v>
      </c>
      <c r="H585" s="149">
        <f>IF(FN_MC!K534="","*",FN_MC!K534)</f>
        <v>280.5</v>
      </c>
      <c r="I585" s="131">
        <f>IF(FN_MC!O534="","*",FN_MC!O534)</f>
        <v>0.375</v>
      </c>
      <c r="J585" s="131">
        <f>IF(FN_MC!P534="","*",FN_MC!P534)</f>
        <v>8.3333333333333329E-2</v>
      </c>
      <c r="K585" s="140" t="str">
        <f>IF(FN_MC!AK534="","*",FN_MC!AK534)</f>
        <v>277TCS</v>
      </c>
      <c r="L585" s="140" t="str">
        <f>IF(FN_MC!AM534="","*",FN_MC!AM534)</f>
        <v>TJA-TCS</v>
      </c>
      <c r="M585" s="140">
        <f>IF(FN_MC!AP534="","*",FN_MC!AP534)</f>
        <v>280.5</v>
      </c>
      <c r="N585" s="140" t="str">
        <f>IF(FN_MC!AM534="","*",FN_MC!AM534)</f>
        <v>TJA-TCS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2026-01-30T18:18:52Z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