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12" documentId="8_{B6337239-1A00-434D-AAD0-422EA1FEB5AE}" xr6:coauthVersionLast="47" xr6:coauthVersionMax="47" xr10:uidLastSave="{BFF94EAF-4CF9-4D5A-80B3-5F90444EAE1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4" i="1" a="1"/>
  <c r="N214" i="1" s="1"/>
  <c r="M214" i="1" a="1"/>
  <c r="M214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5" i="1" a="1"/>
  <c r="N215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AM199" i="1"/>
  <c r="AN199" i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AM215" i="1"/>
  <c r="AN215" i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87" i="12" l="1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<sst xmlns="http://schemas.openxmlformats.org/spreadsheetml/2006/main" count="6474" uniqueCount="1317">
  <si>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</si>
  <si>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</si>
  <si>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</si>
  <si>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</si>
  <si>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</si>
  <si>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</si>
  <si>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</si>
  <si>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</si>
  <si>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</si>
  <si>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</si>
  <si>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</si>
  <si>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</si>
  <si>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</si>
  <si>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</si>
  <si>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</si>
  <si>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</si>
  <si>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</si>
  <si>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</si>
  <si>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</si>
  <si>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</si>
  <si>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</si>
  <si>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</si>
  <si>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</si>
  <si>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</si>
  <si>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</si>
  <si>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</si>
  <si>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</si>
  <si>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</si>
  <si>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</si>
  <si>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</si>
  <si>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</si>
  <si>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</si>
  <si>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</si>
  <si>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</si>
  <si>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</si>
  <si>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</si>
  <si>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</si>
  <si>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</si>
  <si>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</si>
  <si>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</si>
  <si>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</si>
  <si>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</si>
  <si>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</si>
  <si>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</si>
  <si>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</si>
  <si>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</si>
  <si>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</si>
  <si>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</si>
  <si>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</si>
  <si>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</si>
  <si>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</si>
  <si>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</si>
  <si>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</si>
  <si>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</si>
  <si>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</si>
  <si>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</si>
  <si>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</si>
  <si>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</si>
  <si>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</si>
  <si>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</si>
  <si>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</si>
  <si>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</si>
  <si>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</si>
  <si>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</si>
  <si>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</si>
  <si>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</si>
  <si>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</si>
  <si>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</si>
  <si>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</si>
  <si>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</si>
  <si>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</si>
  <si>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</si>
  <si>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</si>
  <si>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</si>
  <si>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</si>
  <si>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</si>
  <si>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</si>
  <si>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</si>
  <si>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</si>
  <si>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</si>
  <si>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</si>
  <si>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</si>
  <si>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</si>
  <si>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</si>
  <si>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</si>
  <si>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</si>
  <si>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</si>
  <si>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</si>
  <si>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</si>
  <si>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</si>
  <si>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</si>
  <si>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</si>
  <si>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</si>
  <si>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</si>
  <si>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</si>
  <si>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</si>
  <si>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</si>
  <si>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</si>
  <si>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</si>
  <si>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</si>
  <si>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</si>
  <si>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</si>
  <si>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</si>
  <si>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</si>
  <si>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</si>
  <si>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</si>
  <si>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</si>
  <si>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</si>
  <si>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</si>
  <si>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</si>
  <si>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</si>
  <si>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</si>
  <si>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</si>
  <si>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</si>
  <si>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</si>
  <si>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</si>
  <si>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</si>
  <si>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</si>
  <si>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</si>
  <si>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</si>
  <si>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</si>
  <si>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</si>
  <si>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</si>
  <si>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</si>
  <si>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</si>
  <si>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</si>
  <si>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</si>
  <si>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</si>
  <si>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</si>
  <si>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</si>
  <si>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</si>
  <si>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</si>
  <si>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</si>
  <si>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</si>
  <si>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</si>
  <si>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</si>
  <si>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</si>
  <si>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</si>
  <si>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</si>
  <si>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</si>
  <si>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</si>
  <si>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</si>
  <si>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</si>
  <si>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</si>
  <si>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</si>
  <si>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</si>
  <si>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</si>
  <si>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</si>
  <si>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</si>
  <si>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</si>
  <si>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</si>
  <si>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</si>
  <si>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</si>
  <si>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</si>
  <si>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</si>
  <si>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</si>
  <si>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</si>
  <si>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</si>
  <si>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</si>
  <si>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</si>
  <si>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</si>
  <si>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</si>
  <si>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</si>
  <si>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</si>
  <si>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</si>
  <si>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</si>
  <si>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</si>
  <si>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</si>
  <si>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</si>
  <si>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</si>
  <si>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</si>
  <si>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</si>
  <si>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</si>
  <si>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</si>
  <si>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</si>
  <si>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</si>
  <si>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</si>
  <si>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</si>
  <si>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</si>
  <si>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</si>
  <si>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</si>
  <si>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</si>
  <si>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</si>
  <si>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</si>
  <si>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</si>
  <si>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</si>
  <si>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</si>
  <si>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</si>
  <si>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</si>
  <si>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</si>
  <si>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</si>
  <si>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</si>
  <si>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</si>
  <si>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</si>
  <si>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</si>
  <si>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</si>
  <si>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</si>
  <si>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</si>
  <si>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</si>
  <si>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</si>
  <si>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</si>
  <si>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</si>
  <si>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</si>
  <si>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</si>
  <si>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</si>
  <si>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</si>
  <si>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</si>
  <si>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</si>
  <si>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</si>
  <si>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</si>
  <si>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</si>
  <si>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</si>
  <si>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</si>
  <si>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</si>
  <si>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</si>
  <si>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</si>
  <si>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</si>
  <si>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</si>
  <si>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</si>
  <si>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</si>
  <si>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</si>
  <si>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</si>
  <si>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</si>
  <si>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</si>
  <si>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</si>
  <si>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</si>
  <si>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</si>
  <si>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</si>
  <si>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</si>
  <si>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</si>
  <si>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</si>
  <si>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</si>
  <si>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</si>
  <si>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</si>
  <si>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</si>
  <si>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</si>
  <si>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</si>
  <si>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</si>
  <si>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</si>
  <si>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</si>
  <si>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</si>
  <si>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</si>
  <si>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</si>
  <si>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</si>
  <si>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</si>
  <si>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</si>
  <si>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</si>
  <si>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</si>
  <si>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</si>
  <si>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</si>
  <si>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</si>
  <si>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</si>
  <si>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</si>
  <si>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</si>
  <si>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</si>
  <si>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</si>
  <si>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</si>
  <si>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</si>
  <si>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</si>
  <si>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</si>
  <si>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</si>
  <si>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</si>
  <si>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</si>
  <si>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</si>
  <si>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</si>
  <si>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</si>
  <si>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</si>
  <si>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</si>
  <si>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</si>
  <si>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</si>
  <si>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</si>
  <si>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</si>
  <si>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</si>
  <si>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</si>
  <si>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</si>
  <si>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</si>
  <si>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</si>
  <si>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</si>
  <si>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</si>
  <si>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</si>
  <si>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</si>
  <si>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</si>
  <si>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</si>
  <si>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</si>
  <si>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</si>
  <si>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</si>
  <si>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</si>
  <si>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</si>
  <si>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</si>
  <si>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</si>
  <si>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</si>
  <si>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</si>
  <si>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</si>
  <si>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</si>
  <si>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</si>
  <si>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</si>
  <si>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</si>
  <si>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</si>
  <si>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</si>
  <si>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</si>
  <si>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</si>
  <si>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</si>
  <si>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</si>
  <si>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</si>
  <si>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</si>
  <si>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</si>
  <si>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</si>
  <si>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</si>
  <si>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</si>
  <si>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</si>
  <si>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</si>
  <si>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</si>
  <si>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</si>
  <si>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</si>
  <si>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</si>
  <si>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</si>
  <si>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</si>
  <si>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</si>
  <si>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</si>
  <si>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</si>
  <si>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</si>
  <si>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</si>
  <si>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</si>
  <si>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</si>
  <si>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</si>
  <si>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</si>
  <si>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</si>
  <si>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</si>
  <si>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</si>
  <si>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</si>
  <si>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</si>
  <si>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</si>
  <si>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</si>
  <si>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</si>
  <si>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</si>
  <si>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</si>
  <si>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</si>
  <si>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</si>
  <si>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</si>
  <si>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</si>
  <si>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</si>
  <si>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</si>
  <si>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</si>
  <si>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</si>
  <si>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</si>
  <si>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</si>
  <si>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</si>
  <si>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</si>
  <si>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</si>
  <si>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</si>
  <si>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</si>
  <si>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</si>
  <si>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</si>
  <si>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</si>
  <si>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</si>
  <si>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</si>
  <si>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</si>
  <si>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</si>
  <si>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</si>
  <si>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</si>
  <si>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</si>
  <si>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</si>
  <si>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</si>
  <si>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</si>
  <si>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</si>
  <si>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</si>
  <si>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</si>
  <si>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</si>
  <si>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</si>
  <si>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</si>
  <si>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</si>
  <si>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</si>
  <si>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</si>
  <si>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</si>
  <si>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</si>
  <si>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</si>
  <si>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</si>
  <si>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</si>
  <si>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</si>
  <si>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</si>
  <si>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</si>
  <si>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</si>
  <si>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</si>
  <si>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</si>
  <si>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</si>
  <si>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</si>
  <si>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</si>
  <si>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</si>
  <si>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</si>
  <si>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</si>
  <si>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</si>
  <si>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</si>
  <si>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</si>
  <si>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</si>
  <si>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</si>
  <si>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</si>
  <si>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</si>
  <si>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</si>
  <si>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</si>
  <si>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</si>
  <si>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</si>
  <si>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</si>
  <si>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</si>
  <si>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</si>
  <si>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</si>
  <si>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</si>
  <si>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</si>
  <si>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</si>
  <si>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</si>
  <si>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</si>
  <si>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</si>
  <si>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</si>
  <si>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</si>
  <si>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</si>
  <si>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</si>
  <si>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</si>
  <si>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</si>
  <si>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</si>
  <si>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</si>
  <si>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</si>
  <si>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</si>
  <si>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</si>
  <si>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</si>
  <si>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</si>
  <si>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</si>
  <si>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</si>
  <si>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</si>
  <si>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</si>
  <si>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</si>
  <si>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</si>
  <si>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</si>
  <si>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</si>
  <si>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</si>
  <si>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</si>
  <si>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</si>
  <si>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</si>
  <si>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</si>
  <si>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</si>
  <si>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</si>
  <si>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</si>
  <si>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</si>
  <si>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</si>
  <si>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</si>
  <si>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</si>
  <si>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</si>
  <si>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</si>
  <si>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</si>
  <si>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</si>
  <si>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</si>
  <si>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</si>
  <si>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</si>
  <si>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</si>
  <si>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</si>
  <si>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</si>
  <si>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</si>
  <si>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</si>
  <si>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</si>
  <si>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</si>
  <si>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</si>
  <si>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</si>
  <si>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</si>
  <si>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</si>
  <si>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</si>
  <si>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</si>
  <si>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</si>
  <si>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</si>
  <si>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</si>
  <si>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</si>
  <si>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</si>
  <si>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</si>
  <si>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</si>
  <si>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</si>
  <si>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</si>
  <si>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</si>
  <si>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</si>
  <si>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</si>
  <si>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</si>
  <si>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</si>
  <si>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</si>
  <si>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</si>
  <si>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</si>
  <si>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</si>
  <si>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</si>
  <si>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</si>
  <si>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</si>
  <si>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</si>
  <si>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</si>
  <si>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</si>
  <si>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</si>
  <si>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</si>
  <si>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</si>
  <si>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</si>
  <si>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</si>
  <si>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</si>
  <si>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</si>
  <si>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</si>
  <si>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</si>
  <si>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</si>
  <si>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</si>
  <si>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</si>
  <si>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</si>
  <si>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</si>
  <si>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</si>
  <si>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</si>
  <si>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</si>
  <si>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</si>
  <si>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</si>
  <si>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</si>
  <si>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</si>
  <si>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</si>
  <si>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</si>
  <si>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</si>
  <si>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</si>
  <si>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</si>
  <si>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</si>
  <si>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</si>
  <si>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</si>
  <si>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</si>
  <si>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</si>
  <si>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</si>
  <si>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</si>
  <si>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</si>
  <si>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</si>
  <si>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</si>
  <si>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</si>
  <si>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</si>
  <si>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</si>
  <si>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</si>
  <si>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</si>
  <si>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</si>
  <si>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</si>
  <si>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</si>
  <si>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</si>
  <si>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</si>
  <si>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</si>
  <si>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</si>
  <si>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</si>
  <si>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</si>
  <si>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</si>
  <si>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</si>
  <si>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</si>
  <si>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</si>
  <si>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</si>
  <si>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</si>
  <si>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</si>
  <si>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</si>
  <si>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</si>
  <si>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</si>
  <si>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</si>
  <si>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</si>
  <si>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</si>
  <si>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</si>
  <si>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</si>
  <si>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</si>
  <si>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</si>
  <si>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</si>
  <si>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</si>
  <si>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</si>
  <si>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</si>
  <si>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</si>
  <si>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</si>
  <si>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</si>
  <si>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</si>
  <si>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</si>
  <si>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</si>
  <si>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</si>
  <si>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</si>
  <si>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</si>
  <si>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</si>
  <si>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</si>
  <si>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</si>
  <si>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</si>
  <si>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</si>
  <si>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</si>
  <si>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</si>
  <si>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</si>
  <si>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</si>
  <si>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</si>
  <si>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</si>
  <si>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</si>
  <si>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</si>
  <si>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</si>
  <si>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</si>
  <si>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</si>
  <si>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</si>
  <si>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</si>
  <si>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</si>
  <si>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</si>
  <si>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</si>
  <si>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</si>
  <si>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</si>
  <si>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</si>
  <si>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</si>
  <si>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</si>
  <si>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</si>
  <si>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</si>
  <si>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</si>
  <si>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</si>
  <si>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</si>
  <si>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</si>
  <si>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</si>
  <si>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</si>
  <si>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</si>
  <si>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</si>
  <si>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</si>
  <si>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</si>
  <si>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</si>
  <si>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</si>
  <si>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</si>
  <si>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</si>
  <si>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</si>
  <si>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</si>
  <si>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</si>
  <si>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</si>
  <si>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</si>
  <si>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</si>
  <si>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</si>
  <si>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</si>
  <si>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</si>
  <si>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</si>
  <si>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</si>
  <si>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</si>
  <si>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</si>
  <si>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</si>
  <si>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</si>
  <si>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</si>
  <si>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</si>
  <si>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</si>
  <si>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</si>
  <si>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</si>
  <si>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</si>
  <si>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</si>
  <si>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</si>
  <si>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</si>
  <si>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</si>
  <si>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</si>
  <si>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</si>
  <si>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</si>
  <si>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</si>
  <si>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</si>
  <si>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</si>
  <si>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</si>
  <si>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</si>
  <si>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</si>
  <si>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</si>
  <si>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</si>
  <si>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</si>
  <si>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</si>
  <si>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</si>
  <si>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</si>
  <si>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</si>
  <si>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</si>
  <si>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</si>
  <si>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</si>
  <si>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</si>
  <si>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</si>
  <si>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</si>
  <si>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</si>
  <si>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</si>
  <si>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</si>
  <si>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</si>
  <si>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</si>
  <si>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</si>
  <si>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</si>
  <si>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</si>
  <si>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</si>
  <si>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</si>
  <si>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</si>
  <si>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</si>
  <si>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</si>
  <si>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</si>
  <si>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</si>
  <si>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</si>
  <si>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</si>
  <si>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</si>
  <si>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</si>
  <si>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</si>
  <si>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</si>
  <si>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</si>
  <si>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</si>
  <si>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</si>
  <si>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</si>
  <si>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</si>
  <si>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</si>
  <si>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</si>
  <si>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</si>
  <si>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</si>
  <si>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</si>
  <si>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</si>
  <si>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</si>
  <si>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</si>
  <si>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</si>
  <si>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</si>
  <si>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</si>
  <si>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</si>
  <si>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</si>
  <si>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</si>
  <si>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</si>
  <si>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</si>
  <si>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</si>
  <si>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</si>
  <si>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</si>
  <si>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</si>
  <si>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</si>
  <si>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</si>
  <si>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</si>
  <si>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</si>
  <si>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</si>
  <si>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</si>
  <si>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</si>
  <si>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</si>
  <si>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</si>
  <si>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</si>
  <si>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</si>
  <si>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</si>
  <si>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</si>
  <si>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</si>
  <si>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</si>
  <si>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</si>
  <si>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</si>
  <si>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</si>
  <si>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</si>
  <si>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</si>
  <si>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</si>
  <si>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</si>
  <si>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</si>
  <si>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</si>
  <si>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</si>
  <si>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</si>
  <si>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</si>
  <si>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</si>
  <si>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</si>
  <si>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</si>
  <si>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</si>
  <si>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</si>
  <si>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</si>
  <si>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</si>
  <si>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</si>
  <si>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</si>
  <si>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</si>
  <si>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</si>
  <si>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</si>
  <si>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</si>
  <si>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</si>
  <si>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</si>
  <si>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</si>
  <si>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</si>
  <si>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</si>
  <si>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</si>
  <si>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</si>
  <si>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</si>
  <si>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</si>
  <si>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</si>
  <si>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</si>
  <si>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</si>
  <si>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</si>
  <si>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</si>
  <si>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</si>
  <si>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</si>
  <si>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</si>
  <si>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</si>
  <si>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</si>
  <si>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</si>
  <si>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</si>
  <si>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</si>
  <si>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</si>
  <si>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</si>
  <si>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</si>
  <si>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</si>
  <si>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</si>
  <si>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</si>
  <si>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</si>
  <si>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</si>
  <si>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</si>
  <si>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</si>
  <si>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</si>
  <si>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</si>
  <si>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</si>
  <si>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</si>
  <si>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</si>
  <si>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</si>
  <si>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</si>
  <si>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</si>
  <si>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</si>
  <si>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</si>
  <si>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</si>
  <si>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</si>
  <si>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</si>
  <si>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</si>
  <si>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</si>
  <si>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</si>
  <si>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</si>
  <si>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</si>
  <si>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</si>
  <si>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</si>
  <si>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</si>
  <si>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</si>
  <si>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</si>
  <si>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</si>
  <si>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</si>
  <si>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</si>
  <si>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</si>
  <si>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</si>
  <si>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</si>
  <si>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</si>
  <si>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</si>
  <si>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</si>
  <si>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</si>
  <si>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</si>
  <si>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</si>
  <si>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</si>
  <si>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</si>
  <si>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</si>
  <si>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</si>
  <si>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</si>
  <si>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</si>
  <si>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</si>
  <si>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</si>
  <si>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</si>
  <si>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</si>
  <si>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</si>
  <si>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</si>
  <si>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</si>
  <si>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</si>
  <si>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</si>
  <si>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</si>
  <si>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</si>
  <si>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</si>
  <si>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</si>
  <si>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</si>
  <si>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</si>
  <si>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</si>
  <si>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</si>
  <si>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</si>
  <si>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</si>
  <si>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</si>
  <si>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</si>
  <si>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</si>
  <si>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</si>
  <si>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</si>
  <si>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</si>
  <si>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</si>
  <si>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</si>
  <si>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</si>
  <si>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</si>
  <si>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</si>
  <si>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</si>
  <si>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</si>
  <si>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</si>
  <si>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</si>
  <si>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</si>
  <si>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</si>
  <si>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</si>
  <si>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</si>
  <si>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</si>
  <si>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</si>
  <si>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</si>
  <si>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</si>
  <si>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</si>
  <si>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</si>
  <si>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</si>
  <si>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</si>
  <si>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</si>
  <si>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</si>
  <si>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</si>
  <si>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</si>
  <si>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</si>
  <si>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</si>
  <si>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</si>
  <si>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</si>
  <si>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</si>
  <si>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</si>
  <si>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</si>
  <si>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</si>
  <si>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</si>
  <si>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</si>
  <si>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</si>
  <si>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</si>
  <si>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</si>
  <si>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</si>
  <si>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</si>
  <si>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</si>
  <si>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</si>
  <si>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</si>
  <si>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</si>
  <si>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</si>
  <si>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</si>
  <si>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</si>
  <si>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</si>
  <si>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</si>
  <si>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</si>
  <si>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</si>
  <si>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</si>
  <si>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</si>
  <si>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</si>
  <si>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</si>
  <si>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</si>
  <si>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</si>
  <si>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</si>
  <si>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</si>
  <si>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</si>
  <si>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</si>
  <si>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</si>
  <si>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</si>
  <si>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</si>
  <si>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</si>
  <si>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</si>
  <si>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</si>
  <si>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</si>
  <si>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</si>
  <si>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</si>
  <si>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</si>
  <si>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</si>
  <si>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</si>
  <si>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</si>
  <si>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</si>
  <si>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</si>
  <si>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</si>
  <si>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</si>
  <si>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</si>
  <si>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</si>
  <si>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</si>
  <si>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</si>
  <si>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</si>
  <si>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</si>
  <si>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</si>
  <si>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</si>
  <si>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</si>
  <si>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</si>
  <si>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</si>
  <si>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</si>
  <si>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</si>
  <si>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</si>
  <si>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</si>
  <si>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</si>
  <si>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</si>
  <si>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</si>
  <si>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</si>
  <si>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</si>
  <si>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</si>
  <si>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</si>
  <si>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</si>
  <si>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</si>
  <si>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</si>
  <si>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</si>
  <si>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</si>
  <si>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</si>
  <si>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</si>
  <si>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</si>
  <si>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</si>
  <si>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</si>
  <si>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</si>
  <si>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</si>
  <si>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</si>
  <si>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</si>
  <si>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</si>
  <si>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</si>
  <si>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</si>
  <si>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</si>
  <si>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</si>
  <si>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</si>
  <si>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</si>
  <si>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</si>
  <si>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</si>
  <si>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</si>
  <si>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</si>
  <si>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</si>
  <si>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</si>
  <si>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</si>
  <si>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</si>
  <si>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</si>
  <si>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</si>
  <si>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</si>
  <si>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</si>
  <si>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</si>
  <si>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</si>
  <si>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</si>
  <si>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</si>
  <si>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</si>
  <si>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</si>
  <si>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</si>
  <si>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</si>
  <si>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</si>
  <si>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</si>
  <si>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</si>
  <si>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</si>
  <si>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</si>
  <si>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</si>
  <si>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</si>
  <si>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</si>
  <si>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</si>
  <si>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</si>
  <si>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</si>
  <si>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</si>
  <si>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</si>
  <si>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</si>
  <si>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</si>
  <si>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</si>
  <si>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</si>
  <si>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</si>
  <si>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</si>
  <si>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</si>
  <si>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</si>
  <si>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</si>
  <si>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</si>
  <si>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</si>
  <si>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</si>
  <si>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</si>
  <si>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</si>
  <si>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</si>
  <si>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</si>
  <si>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</si>
  <si>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</si>
  <si>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</si>
  <si>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</si>
  <si>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</si>
  <si>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</si>
  <si>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</si>
  <si>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</si>
  <si>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</si>
  <si>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</si>
  <si>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</si>
  <si>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</si>
  <si>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</si>
  <si>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</si>
  <si>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</si>
  <si>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</si>
  <si>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</si>
  <si>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</si>
  <si>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</si>
  <si>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</si>
  <si>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</si>
  <si>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</si>
  <si>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</si>
  <si>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</si>
  <si>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</si>
  <si>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</si>
  <si>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</si>
  <si>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</si>
  <si>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</si>
  <si>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</si>
  <si>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</si>
  <si>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</si>
  <si>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</si>
  <si>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</si>
  <si>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</si>
  <si>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</si>
  <si>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</si>
  <si>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</si>
  <si>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</si>
  <si>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</si>
  <si>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</si>
  <si>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</si>
  <si>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</si>
  <si>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</si>
  <si>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</si>
  <si>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</si>
  <si>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</si>
  <si>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</si>
  <si>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</si>
  <si>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</si>
  <si>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</si>
  <si>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</si>
  <si>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</si>
  <si>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</si>
  <si>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</si>
  <si>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</si>
  <si>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</si>
  <si>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</si>
  <si>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</si>
  <si>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</si>
  <si>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</si>
  <si>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</si>
  <si>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</si>
  <si>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</si>
  <si>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</si>
  <si>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</si>
  <si>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</si>
  <si>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</si>
  <si>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</si>
  <si>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</si>
  <si>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</si>
  <si>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</si>
  <si>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</si>
  <si>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</si>
  <si>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</si>
  <si>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</si>
  <si>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</si>
  <si>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</si>
  <si>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</si>
  <si>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</si>
  <si>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</si>
  <si>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</si>
  <si>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</si>
  <si>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</si>
  <si>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</si>
  <si>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</si>
  <si>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</si>
  <si>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</si>
  <si>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</si>
  <si>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</si>
  <si>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</si>
  <si>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</si>
  <si>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</si>
  <si>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</si>
  <si>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</si>
  <si>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</si>
  <si>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</si>
  <si>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</si>
  <si>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</si>
  <si>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</si>
  <si>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</si>
  <si>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</si>
  <si>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</si>
  <si>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</si>
  <si>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</si>
  <si>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</si>
  <si>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</si>
  <si>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</si>
  <si>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</si>
  <si>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</si>
  <si>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</si>
  <si>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</si>
  <si>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</si>
  <si>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</si>
  <si>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</si>
  <si>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</si>
  <si>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</si>
  <si>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</si>
  <si>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</si>
  <si>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</si>
  <si>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</si>
  <si>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</si>
  <si>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</si>
  <si>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</si>
  <si>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</si>
  <si>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</si>
  <si>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</si>
  <si>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</si>
  <si>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</si>
  <si>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</si>
  <si>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</si>
  <si>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</si>
  <si>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</si>
  <si>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</si>
  <si>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</si>
  <si>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</si>
  <si>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</si>
  <si>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</si>
  <si>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</si>
  <si>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</si>
  <si>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</si>
  <si>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</si>
  <si>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</si>
  <si>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</si>
  <si>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</si>
  <si>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</si>
  <si>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</si>
  <si>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</si>
  <si>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</si>
  <si>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</si>
  <si>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</si>
  <si>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</si>
  <si>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</si>
  <si>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</si>
  <si>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</si>
  <si>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</si>
  <si>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</si>
  <si>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</si>
  <si>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</si>
  <si>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</si>
  <si>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</si>
  <si>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</si>
  <si>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</si>
  <si>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</si>
  <si>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</si>
  <si>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</si>
  <si>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</si>
  <si>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</si>
  <si>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</si>
  <si>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</si>
  <si>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</si>
  <si>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</si>
  <si>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</si>
  <si>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</si>
  <si>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</si>
  <si>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</si>
  <si>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</si>
  <si>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</si>
  <si>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</si>
  <si>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</si>
  <si>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</si>
  <si>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</si>
  <si>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</si>
  <si>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</si>
  <si>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</si>
  <si>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</si>
  <si>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</si>
  <si>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</si>
  <si>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</si>
  <si>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</si>
  <si>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</si>
  <si>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</si>
  <si>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</si>
  <si>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</si>
  <si>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</si>
  <si>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</si>
  <si>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</si>
  <si>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</si>
  <si>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</si>
  <si>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</si>
  <si>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</si>
  <si>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</si>
  <si>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</si>
  <si>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</si>
  <si>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</si>
  <si>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</si>
  <si>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</si>
  <si>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</si>
  <si>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</si>
  <si>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</si>
  <si>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</si>
  <si>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/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</si>
  <si>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</si>
  <si>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</si>
  <si>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</si>
  <si>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</si>
  <si>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</si>
  <si>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</si>
  <si>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</si>
  <si>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</si>
  <si>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</si>
  <si>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</si>
  <si>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</si>
  <si>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</si>
  <si>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</si>
  <si>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</si>
  <si>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</si>
  <si>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</si>
  <si>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</si>
  <si>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</si>
  <si>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</si>
  <si>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</si>
  <si>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</si>
  <si>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</si>
  <si>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</si>
  <si>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</si>
  <si>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>NIVALDO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</si>
  <si>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</si>
  <si>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</si>
  <si>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Deslocamento e recolhimento das TP's na serra + acompanhamento da V97 - W61 realiza o giro de ZXW e retorna</t>
  </si>
  <si>
    <t>PDM - Substiuição de trilho</t>
  </si>
  <si>
    <t>Detecção ultrassom sperry  + R7D embarcado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</si>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</sst>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32" fillId="14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91" activePane="bottomRight" state="frozen"/>
      <selection pane="bottomRight" activeCell="L206" sqref="L20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0.66666666666666607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703</v>
      </c>
      <c r="BO163" s="403" t="s">
        <v>1222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1223</v>
      </c>
      <c r="BK164" s="17" t="s">
        <v>1223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1223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1224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1225</v>
      </c>
      <c r="N165" s="204" t="s">
        <v>1226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1227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4.1666666666666664E-2</v>
      </c>
      <c r="AU165" s="39"/>
      <c r="AV165" s="39"/>
      <c r="AW165" s="39"/>
      <c r="AX165" s="39"/>
      <c r="AY165" s="293">
        <f t="shared" si="19"/>
        <v>4.1666666666666664E-2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2</v>
      </c>
      <c r="BI165" s="17"/>
      <c r="BJ165" s="17" t="s">
        <v>1228</v>
      </c>
      <c r="BK165" s="17" t="s">
        <v>1228</v>
      </c>
      <c r="BL165" s="16"/>
      <c r="BM165" s="15"/>
      <c r="BN165" s="15"/>
      <c r="BO165" s="165"/>
      <c r="BP165" s="17"/>
      <c r="BQ165" s="13" t="str">
        <f t="shared" si="20"/>
        <v>Produção</v>
      </c>
      <c r="BR165" s="19">
        <f t="shared" si="21"/>
        <v>1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/>
      <c r="BN169" s="15"/>
      <c r="BO169" s="165"/>
      <c r="BP169" s="17"/>
      <c r="BQ169" s="13" t="str">
        <f t="shared" si="20"/>
        <v>Produção</v>
      </c>
      <c r="BR169" s="19">
        <f t="shared" si="21"/>
        <v>1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/>
      <c r="BN170" s="15"/>
      <c r="BO170" s="165"/>
      <c r="BP170" s="17"/>
      <c r="BQ170" s="13" t="str">
        <f t="shared" si="20"/>
        <v>Produção</v>
      </c>
      <c r="BR170" s="19">
        <f t="shared" si="21"/>
        <v>1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15"/>
      <c r="BN171" s="15"/>
      <c r="BO171" s="165"/>
      <c r="BP171" s="17"/>
      <c r="BQ171" s="13" t="str">
        <f t="shared" si="20"/>
        <v>Produção</v>
      </c>
      <c r="BR171" s="19">
        <f t="shared" si="21"/>
        <v>1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15"/>
      <c r="BN172" s="15"/>
      <c r="BO172" s="165"/>
      <c r="BP172" s="17"/>
      <c r="BQ172" s="13" t="str">
        <f t="shared" si="20"/>
        <v>Produção</v>
      </c>
      <c r="BR172" s="19">
        <f t="shared" si="21"/>
        <v>1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15"/>
      <c r="BN173" s="15"/>
      <c r="BO173" s="165"/>
      <c r="BP173" s="17"/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15"/>
      <c r="BN174" s="15"/>
      <c r="BO174" s="165"/>
      <c r="BP174" s="17"/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/>
      <c r="BN175" s="15"/>
      <c r="BO175" s="165"/>
      <c r="BP175" s="17"/>
      <c r="BQ175" s="13" t="str">
        <f t="shared" si="20"/>
        <v>Produção</v>
      </c>
      <c r="BR175" s="19">
        <f t="shared" si="21"/>
        <v>1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1238</v>
      </c>
      <c r="BK178" s="17" t="s">
        <v>1238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Produção</v>
      </c>
      <c r="BR178" s="19">
        <f t="shared" si="21"/>
        <v>1</v>
      </c>
      <c r="BS178" s="19">
        <f t="shared" si="22"/>
        <v>0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1239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1239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1240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1240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1241</v>
      </c>
      <c r="BK181" s="17" t="s">
        <v>1241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1240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1242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1242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1243</v>
      </c>
      <c r="BK183" s="17" t="s">
        <v>1243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1244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1245</v>
      </c>
      <c r="BK184" s="17" t="s">
        <v>1245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1246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/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1247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/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>
        <f t="shared" si="19"/>
        <v>0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/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>
        <f t="shared" si="19"/>
        <v>0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/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>
        <f t="shared" si="19"/>
        <v>0</v>
      </c>
      <c r="AZ191" s="14"/>
      <c r="BA191" s="72"/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/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/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/>
      <c r="I196" s="173"/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/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/>
      <c r="I197" s="173"/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/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/>
      <c r="I198" s="173"/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/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/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/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1248</v>
      </c>
      <c r="W205" s="173" t="s">
        <v>1249</v>
      </c>
      <c r="X205" s="218" t="s">
        <v>662</v>
      </c>
      <c r="Y205" s="158"/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/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1250</v>
      </c>
      <c r="X206" s="218" t="s">
        <v>662</v>
      </c>
      <c r="Y206" s="158"/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>
        <f t="shared" si="19"/>
        <v>0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Produção e Intervalo</v>
      </c>
      <c r="BR206" s="19">
        <f t="shared" si="21"/>
        <v>0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/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1251</v>
      </c>
      <c r="X208" s="218" t="s">
        <v>662</v>
      </c>
      <c r="Y208" s="158"/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>
        <f t="shared" si="19"/>
        <v>0</v>
      </c>
      <c r="AZ208" s="14"/>
      <c r="BA208" s="72"/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/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1251</v>
      </c>
      <c r="X209" s="218" t="s">
        <v>662</v>
      </c>
      <c r="Y209" s="158"/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>
        <f t="shared" si="19"/>
        <v>0</v>
      </c>
      <c r="AZ209" s="14"/>
      <c r="BA209" s="72"/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/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>
        <f t="shared" si="19"/>
        <v>0</v>
      </c>
      <c r="AZ210" s="14"/>
      <c r="BA210" s="72"/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1252</v>
      </c>
      <c r="X211" s="218" t="s">
        <v>662</v>
      </c>
      <c r="Y211" s="158"/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/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DIEGO (TF-42)46000</v>
      </c>
      <c r="B213" s="171">
        <v>46000</v>
      </c>
      <c r="C213" s="8">
        <f>IF(BS_CONTROLE[[#This Row],[DATA]]="","",WEEKNUM(BS_CONTROLE[[#This Row],[DATA]]))</f>
        <v>50</v>
      </c>
      <c r="D213" s="52" t="s">
        <v>579</v>
      </c>
      <c r="E213" s="294">
        <v>46</v>
      </c>
      <c r="F213" s="172" t="s">
        <v>395</v>
      </c>
      <c r="G213" s="9" t="str">
        <f>IF(D213="","*",VLOOKUP(F213,BS_ATIVIDADE[#All],3,FALSE))</f>
        <v>LIMPEZA LASTRO</v>
      </c>
      <c r="H213" s="173" t="s">
        <v>317</v>
      </c>
      <c r="I213" s="173" t="s">
        <v>317</v>
      </c>
      <c r="J213" s="217">
        <v>53</v>
      </c>
      <c r="K213" s="217">
        <v>115.5</v>
      </c>
      <c r="L213" s="84" t="s">
        <v>317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3" s="173">
        <v>0.45833333333333331</v>
      </c>
      <c r="P213" s="173">
        <v>8.3333333333333329E-2</v>
      </c>
      <c r="Q213" s="84">
        <v>2</v>
      </c>
      <c r="R213" s="10" t="str">
        <f>IFERROR(_xlfn.XLOOKUP(F213, BS_ATIVIDADE[ATIVIDADE],BS_ATIVIDADE[UNIDADE] ), "*")</f>
        <v>M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3" s="81" t="str">
        <f>IFERROR(_xlfn.XLOOKUP(J213, BASE_MAPA!$D$2:$D$260, BASE_MAPA!$I$2:$I$260), "ERRO")</f>
        <v>PAT-ZGM</v>
      </c>
      <c r="V213" s="261" t="s">
        <v>958</v>
      </c>
      <c r="W213" s="173" t="s">
        <v>928</v>
      </c>
      <c r="X213" s="218" t="s">
        <v>662</v>
      </c>
      <c r="Y213" s="158"/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LIMPEZA LASTRO</v>
      </c>
      <c r="AJ213" s="9" t="str">
        <f>IF(D213="","*",VLOOKUP(AI213,BS_ATIVIDADE[#Data],3,FALSE))</f>
        <v>LIMPEZA LASTRO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ZGM-109</v>
      </c>
      <c r="AN213" s="258" t="str">
        <f>IF(BS_CONTROLE[[#This Row],[SB]]=0, "-", BS_CONTROLE[[#This Row],[SB]])</f>
        <v>117ZGM2</v>
      </c>
      <c r="AO213" s="259">
        <f>IF(BS_CONTROLE[[#This Row],[SUB]]=0, "-", BS_CONTROLE[[#This Row],[SUB]])</f>
        <v>53</v>
      </c>
      <c r="AP213" s="260">
        <f>IF(BS_CONTROLE[[#This Row],[KM - Inicio]]=0, "-", BS_CONTROLE[[#This Row],[KM - Inicio]])</f>
        <v>115.5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M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3" s="11" t="str">
        <f>IFERROR(_xlfn.XLOOKUP(AO213, BASE_MAPA!$D$2:$D$260, BASE_MAPA!$I$2:$I$260), "ERRO")</f>
        <v>PAT-ZGM</v>
      </c>
      <c r="BF213" s="261" t="str">
        <f>IF(BS_CONTROLE[[#This Row],[Responsavel pelo boletim]]=0, "-", BS_CONTROLE[[#This Row],[Responsavel pelo boletim]])</f>
        <v>Moisés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V8546000</v>
      </c>
      <c r="B214" s="171">
        <v>46000</v>
      </c>
      <c r="C214" s="8">
        <f>IF(BS_CONTROLE[[#This Row],[DATA]]="","",WEEKNUM(BS_CONTROLE[[#This Row],[DATA]]))</f>
        <v>50</v>
      </c>
      <c r="D214" s="52" t="s">
        <v>513</v>
      </c>
      <c r="E214" s="294">
        <v>608</v>
      </c>
      <c r="F214" s="71" t="s">
        <v>422</v>
      </c>
      <c r="G214" s="9" t="str">
        <f>IF(D214="","*",VLOOKUP(F214,BS_ATIVIDADE[#All],3,FALSE))</f>
        <v>MECANIZAÇÃO - SOCADORA</v>
      </c>
      <c r="H214" s="173" t="s">
        <v>983</v>
      </c>
      <c r="I214" s="173" t="s">
        <v>951</v>
      </c>
      <c r="J214" s="217">
        <v>30</v>
      </c>
      <c r="K214" s="217">
        <v>114.3</v>
      </c>
      <c r="L214" s="217">
        <v>115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4" s="173">
        <v>0.35416666666666669</v>
      </c>
      <c r="P214" s="173">
        <v>8.3333333333333329E-2</v>
      </c>
      <c r="Q214" s="217">
        <v>700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81" t="str">
        <f>IFERROR(_xlfn.XLOOKUP(J214, BASE_MAPA!$D$2:$D$260, BASE_MAPA!$I$2:$I$260), "ERRO")</f>
        <v>ZGM-109</v>
      </c>
      <c r="V214" s="261" t="s">
        <v>924</v>
      </c>
      <c r="W214" s="261" t="s">
        <v>1092</v>
      </c>
      <c r="X214" s="218" t="s">
        <v>662</v>
      </c>
      <c r="Y214" s="158"/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/>
      <c r="AG214" s="84" t="s">
        <v>317</v>
      </c>
      <c r="AH214" s="49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58" t="str">
        <f>IF(BS_CONTROLE[[#This Row],[Local - Partida]]=0, "-", BS_CONTROLE[[#This Row],[Local - Partida]])</f>
        <v>109ZPT2</v>
      </c>
      <c r="AL214" s="258" t="str">
        <f>IF(BS_CONTROLE[[#This Row],[Local - Encerramento]]=0, "-", BS_CONTROLE[[#This Row],[Local - Encerramento]])</f>
        <v>ZPTZDR</v>
      </c>
      <c r="AM214" s="258" t="str">
        <f>IF(BS_CONTROLE[[#This Row],[Entre - Estações]]=0, "-", BS_CONTROLE[[#This Row],[Entre - Estações]])</f>
        <v>ZGM1</v>
      </c>
      <c r="AN214" s="258" t="str">
        <f>IF(BS_CONTROLE[[#This Row],[SB]]=0, "-", BS_CONTROLE[[#This Row],[SB]])</f>
        <v>ZGM1</v>
      </c>
      <c r="AO214" s="259">
        <f>IF(BS_CONTROLE[[#This Row],[SUB]]=0, "-", BS_CONTROLE[[#This Row],[SUB]])</f>
        <v>30</v>
      </c>
      <c r="AP214" s="260">
        <f>IF(BS_CONTROLE[[#This Row],[KM - Inicio]]=0, "-", BS_CONTROLE[[#This Row],[KM - Inicio]])</f>
        <v>114.3</v>
      </c>
      <c r="AQ214" s="260">
        <f>IF(BS_CONTROLE[[#This Row],[KM - Fim]]=0, "-", BS_CONTROLE[[#This Row],[KM - Fim]])</f>
        <v>115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>
        <f>IFERROR(_xlfn.XLOOKUP(AO214, BASE_MAPA!$D$2:$D$260, BASE_MAPA!$I$2:$I$260), "ERRO")</f>
        <v>ZGM-109</v>
      </c>
      <c r="BF214" s="261" t="str">
        <f>IF(BS_CONTROLE[[#This Row],[Responsavel pelo boletim]]=0, "-", BS_CONTROLE[[#This Row],[Responsavel pelo boletim]])</f>
        <v>Saulo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5:Q450 O213:Q213 O184:Q205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5:Y450 X211:Y214 V213:W213 V192:Y205 X187:Y191 V189:V19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4" name="Range1_16_2"/>
    <protectedRange sqref="O7:Q7 P8:P9 O27:Q27 O20:Q20 O25:Q25 O14:Q14 P33:P34 P58:P59 O75:Q75 O97:Q97 O103:Q103 O113:Q113 O144:Q144 O151:Q151 O156:Q157 O169:Q169 O178:Q178 O183:Q183 O206:Q206 O212:Q212 O214:Q21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599 BP164:BP18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1253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1254</v>
      </c>
      <c r="C4" s="331" t="s">
        <v>1255</v>
      </c>
      <c r="D4" s="331" t="s">
        <v>1256</v>
      </c>
      <c r="E4" s="331" t="s">
        <v>1257</v>
      </c>
      <c r="F4" s="331" t="s">
        <v>8</v>
      </c>
      <c r="G4" s="331" t="s">
        <v>1258</v>
      </c>
    </row>
    <row r="5" spans="2:8">
      <c r="B5" s="334" t="s">
        <v>1147</v>
      </c>
      <c r="C5" s="334">
        <v>314978</v>
      </c>
      <c r="D5" s="334" t="s">
        <v>1259</v>
      </c>
      <c r="E5" s="334" t="s">
        <v>537</v>
      </c>
      <c r="F5" s="334" t="s">
        <v>101</v>
      </c>
      <c r="G5" s="335">
        <v>46143</v>
      </c>
    </row>
    <row r="6" spans="2:8">
      <c r="B6" s="334" t="s">
        <v>1260</v>
      </c>
      <c r="C6" s="334">
        <v>256790</v>
      </c>
      <c r="D6" s="334" t="s">
        <v>1261</v>
      </c>
      <c r="E6" s="334" t="s">
        <v>537</v>
      </c>
      <c r="F6" s="334" t="s">
        <v>1262</v>
      </c>
      <c r="G6" s="335">
        <v>45992</v>
      </c>
    </row>
    <row r="7" spans="2:8">
      <c r="B7" s="334" t="s">
        <v>1263</v>
      </c>
      <c r="C7" s="334">
        <v>265193</v>
      </c>
      <c r="D7" s="334" t="s">
        <v>1264</v>
      </c>
      <c r="E7" s="334" t="s">
        <v>538</v>
      </c>
      <c r="F7" s="334" t="s">
        <v>1265</v>
      </c>
      <c r="G7" s="334" t="s">
        <v>1266</v>
      </c>
    </row>
    <row r="8" spans="2:8">
      <c r="B8" s="334" t="s">
        <v>1267</v>
      </c>
      <c r="C8" s="334">
        <v>293716</v>
      </c>
      <c r="D8" s="334" t="s">
        <v>1268</v>
      </c>
      <c r="E8" s="334" t="s">
        <v>538</v>
      </c>
      <c r="F8" s="334" t="s">
        <v>1265</v>
      </c>
      <c r="G8" s="335">
        <v>46204</v>
      </c>
    </row>
    <row r="9" spans="2:8">
      <c r="B9" s="334" t="s">
        <v>1269</v>
      </c>
      <c r="C9" s="334">
        <v>257258</v>
      </c>
      <c r="D9" s="334" t="s">
        <v>1270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1271</v>
      </c>
      <c r="C10" s="334">
        <v>371147</v>
      </c>
      <c r="D10" s="334" t="s">
        <v>1272</v>
      </c>
      <c r="E10" s="334" t="s">
        <v>539</v>
      </c>
      <c r="F10" s="334" t="s">
        <v>144</v>
      </c>
      <c r="G10" s="334" t="s">
        <v>1266</v>
      </c>
    </row>
    <row r="11" spans="2:8">
      <c r="B11" s="334" t="s">
        <v>1273</v>
      </c>
      <c r="C11" s="334">
        <v>259230</v>
      </c>
      <c r="D11" s="334" t="s">
        <v>1274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1275</v>
      </c>
      <c r="C12" s="334">
        <v>370705</v>
      </c>
      <c r="D12" s="334"/>
      <c r="E12" s="334" t="s">
        <v>539</v>
      </c>
      <c r="F12" s="334" t="s">
        <v>144</v>
      </c>
      <c r="G12" s="334" t="s">
        <v>1266</v>
      </c>
    </row>
    <row r="13" spans="2:8">
      <c r="B13" s="334" t="s">
        <v>1276</v>
      </c>
      <c r="C13" s="334">
        <v>258542</v>
      </c>
      <c r="D13" s="334" t="s">
        <v>1277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1278</v>
      </c>
      <c r="C14" s="334">
        <v>257050</v>
      </c>
      <c r="D14" s="334" t="s">
        <v>1279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1280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1281</v>
      </c>
      <c r="E3" s="326" t="s">
        <v>1282</v>
      </c>
      <c r="F3" s="326" t="s">
        <v>1283</v>
      </c>
      <c r="G3" s="331" t="s">
        <v>1284</v>
      </c>
      <c r="H3" s="326" t="s">
        <v>1285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1286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1287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1288</v>
      </c>
      <c r="G6" s="333" t="s">
        <v>1289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1290</v>
      </c>
      <c r="H7" s="327"/>
    </row>
    <row r="8" spans="3:8">
      <c r="C8" s="327" t="s">
        <v>464</v>
      </c>
      <c r="D8" s="327" t="s">
        <v>1291</v>
      </c>
      <c r="E8" s="328">
        <v>45993</v>
      </c>
      <c r="F8" s="327">
        <v>12000</v>
      </c>
      <c r="G8" s="332" t="s">
        <v>1292</v>
      </c>
      <c r="H8" s="327"/>
    </row>
    <row r="9" spans="3:8" ht="29.25">
      <c r="C9" s="327" t="s">
        <v>464</v>
      </c>
      <c r="D9" s="327" t="s">
        <v>1293</v>
      </c>
      <c r="E9" s="328">
        <v>45993</v>
      </c>
      <c r="F9" s="327">
        <v>9000</v>
      </c>
      <c r="G9" s="332" t="s">
        <v>1294</v>
      </c>
      <c r="H9" s="327"/>
    </row>
    <row r="10" spans="3:8" ht="29.25">
      <c r="C10" s="327" t="s">
        <v>464</v>
      </c>
      <c r="D10" s="327" t="s">
        <v>1295</v>
      </c>
      <c r="E10" s="328">
        <v>45993</v>
      </c>
      <c r="F10" s="327">
        <v>10000</v>
      </c>
      <c r="G10" s="332" t="s">
        <v>1294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1296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1297</v>
      </c>
      <c r="W1" s="394"/>
      <c r="X1" s="394"/>
      <c r="Y1" s="104"/>
    </row>
    <row r="2" spans="1:25" s="101" customFormat="1" ht="11.25" customHeight="1">
      <c r="A2" s="105" t="s">
        <v>1298</v>
      </c>
      <c r="B2" s="105" t="s">
        <v>1299</v>
      </c>
      <c r="C2" s="105" t="s">
        <v>313</v>
      </c>
      <c r="D2" s="106" t="s">
        <v>869</v>
      </c>
      <c r="E2" s="106" t="s">
        <v>870</v>
      </c>
      <c r="F2" s="106" t="s">
        <v>1300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1301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*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*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2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59</v>
      </c>
      <c r="X209" s="112">
        <f ca="1">_xlfn.XLOOKUP(G209&amp;$X$2,BS_CONTROLE[CHAVE],BS_CONTROLE[Quantidade_11],"-")</f>
        <v>30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ZPT-ZPG</v>
      </c>
      <c r="F211" s="110">
        <f>IF(SP_SUL!B213="","*",SP_SUL!B213)</f>
        <v>46000</v>
      </c>
      <c r="G211" s="110" t="str">
        <f>IF(SP_SUL!D213="","*",SP_SUL!D213)</f>
        <v>DIEGO (TF-42)</v>
      </c>
      <c r="H211" s="110" t="str">
        <f>IF(SP_SUL!F213="","*",SP_SUL!F213)</f>
        <v>LIMPEZA LASTRO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ZGM-109</v>
      </c>
      <c r="L211" s="339" t="str">
        <f>IF(SP_SUL!N213="","*",SP_SUL!N213)</f>
        <v>117ZGM2</v>
      </c>
      <c r="M211" s="111">
        <f>IF(SP_SUL!J213="","*",SP_SUL!J213)</f>
        <v>53</v>
      </c>
      <c r="N211" s="270">
        <f>IF(SP_SUL!K213="","*",SP_SUL!K213)</f>
        <v>115.5</v>
      </c>
      <c r="O211" s="270" t="str">
        <f>IF(SP_SUL!L213="","*",SP_SUL!L213)</f>
        <v>-</v>
      </c>
      <c r="P211" s="111"/>
      <c r="Q211" s="128">
        <f>IF(SP_SUL!O213="","*",SP_SUL!O213)</f>
        <v>0.45833333333333331</v>
      </c>
      <c r="R211" s="128">
        <f>IF(SP_SUL!P213="","*",SP_SUL!P213)</f>
        <v>8.3333333333333329E-2</v>
      </c>
      <c r="S211" s="110" t="str">
        <f>IF(SP_SUL!Q213="","*",CONCATENATE(SP_SUL!Q213," ",SP_SUL!R213))</f>
        <v>2 M</v>
      </c>
      <c r="T211" s="110" t="str">
        <f>IF(SP_SUL!V213="","*",SP_SUL!V213)</f>
        <v>Moisés</v>
      </c>
      <c r="U211" s="110" t="str">
        <f>IF(SP_SUL!W213="","*",SP_SUL!W213)</f>
        <v xml:space="preserve">Limpeza de lastro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30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ZEV-ZPT</v>
      </c>
      <c r="F212" s="110">
        <f>IF(SP_SUL!B214="","*",SP_SUL!B214)</f>
        <v>46000</v>
      </c>
      <c r="G212" s="110" t="str">
        <f>IF(SP_SUL!D214="","*",SP_SUL!D214)</f>
        <v>V85</v>
      </c>
      <c r="H212" s="110" t="str">
        <f>IF(SP_SUL!F214="","*",SP_SUL!F214)</f>
        <v>MECANIZAÇÃO - SOCADORA</v>
      </c>
      <c r="I212" s="110" t="str">
        <f>IF(SP_SUL!H214="","*",SP_SUL!H214)</f>
        <v>109ZPT2</v>
      </c>
      <c r="J212" s="110" t="str">
        <f>IF(SP_SUL!I214="","*",SP_SUL!I214)</f>
        <v>ZPTZDR</v>
      </c>
      <c r="K212" s="110" t="str">
        <f>IF(SP_SUL!M214="","*",SP_SUL!M214)</f>
        <v>ZGM1</v>
      </c>
      <c r="L212" s="339" t="str">
        <f>IF(SP_SUL!N214="","*",SP_SUL!N214)</f>
        <v>ZGM1</v>
      </c>
      <c r="M212" s="111">
        <f>IF(SP_SUL!J214="","*",SP_SUL!J214)</f>
        <v>30</v>
      </c>
      <c r="N212" s="270">
        <f>IF(SP_SUL!K214="","*",SP_SUL!K214)</f>
        <v>114.3</v>
      </c>
      <c r="O212" s="270">
        <f>IF(SP_SUL!L214="","*",SP_SUL!L214)</f>
        <v>115</v>
      </c>
      <c r="P212" s="111"/>
      <c r="Q212" s="128">
        <f>IF(SP_SUL!O214="","*",SP_SUL!O214)</f>
        <v>0.35416666666666669</v>
      </c>
      <c r="R212" s="128">
        <f>IF(SP_SUL!P214="","*",SP_SUL!P214)</f>
        <v>8.3333333333333329E-2</v>
      </c>
      <c r="S212" s="110" t="str">
        <f>IF(SP_SUL!Q214="","*",CONCATENATE(SP_SUL!Q214," ",SP_SUL!R214))</f>
        <v>700 M</v>
      </c>
      <c r="T212" s="110" t="str">
        <f>IF(SP_SUL!V214="","*",SP_SUL!V214)</f>
        <v>Saulo</v>
      </c>
      <c r="U212" s="110" t="str">
        <f>IF(SP_SUL!W214="","*",SP_SUL!W214)</f>
        <v>Serviços de socaria mecanizada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1300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1302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1303</v>
      </c>
      <c r="D5" s="396"/>
      <c r="E5" s="396"/>
      <c r="F5" s="396"/>
      <c r="G5" s="396"/>
      <c r="H5" s="396"/>
      <c r="I5" s="396"/>
      <c r="J5" s="397"/>
      <c r="K5" s="398" t="s">
        <v>1304</v>
      </c>
      <c r="L5" s="399"/>
      <c r="M5" s="399"/>
      <c r="N5" s="399"/>
      <c r="O5" s="400" t="s">
        <v>1305</v>
      </c>
      <c r="P5" s="401"/>
      <c r="Q5" s="402"/>
    </row>
    <row r="6" spans="1:17" s="94" customFormat="1" ht="15.75" customHeight="1">
      <c r="A6" s="88" t="s">
        <v>1300</v>
      </c>
      <c r="B6" s="95" t="s">
        <v>1299</v>
      </c>
      <c r="C6" s="96" t="s">
        <v>869</v>
      </c>
      <c r="D6" s="97" t="s">
        <v>870</v>
      </c>
      <c r="E6" s="96" t="s">
        <v>1306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1307</v>
      </c>
      <c r="M6" s="139" t="s">
        <v>335</v>
      </c>
      <c r="N6" s="140" t="s">
        <v>864</v>
      </c>
      <c r="O6" s="246" t="s">
        <v>907</v>
      </c>
      <c r="P6" s="157"/>
      <c r="Q6" s="193" t="s">
        <v>1308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2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*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*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*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ZPT-ZPG</v>
      </c>
      <c r="E215" s="100" t="str">
        <f>IF(SP_SUL!D213="","*",SP_SUL!D213)</f>
        <v>DIEGO (TF-42)</v>
      </c>
      <c r="F215" s="100" t="str">
        <f>IF(SP_SUL!H213="","*",SP_SUL!H213)</f>
        <v>-</v>
      </c>
      <c r="G215" s="100" t="str">
        <f>IF(SP_SUL!M213="","*",SP_SUL!M213)</f>
        <v>ZGM-109</v>
      </c>
      <c r="H215" s="154">
        <f>IF(SP_SUL!K213="","*",SP_SUL!K213)</f>
        <v>115.5</v>
      </c>
      <c r="I215" s="132">
        <f>IF(SP_SUL!O213="","*",SP_SUL!O213)</f>
        <v>0.45833333333333331</v>
      </c>
      <c r="J215" s="132">
        <f>IF(SP_SUL!P213="","*",SP_SUL!P213)</f>
        <v>8.3333333333333329E-2</v>
      </c>
      <c r="K215" s="141" t="str">
        <f>IF(SP_SUL!AK213="","*",SP_SUL!AK213)</f>
        <v>-</v>
      </c>
      <c r="L215" s="141" t="str">
        <f>IF(SP_SUL!AM213="","*",SP_SUL!AM213)</f>
        <v>ZGM-109</v>
      </c>
      <c r="M215" s="141">
        <f>IF(SP_SUL!AP213="","*",SP_SUL!AP213)</f>
        <v>115.5</v>
      </c>
      <c r="N215" s="141" t="str">
        <f>IF(SP_SUL!AM213="","*",SP_SUL!AM213)</f>
        <v>ZGM-109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ZEV-ZPT</v>
      </c>
      <c r="E216" s="100" t="str">
        <f>IF(SP_SUL!D214="","*",SP_SUL!D214)</f>
        <v>V85</v>
      </c>
      <c r="F216" s="100" t="str">
        <f>IF(SP_SUL!H214="","*",SP_SUL!H214)</f>
        <v>109ZPT2</v>
      </c>
      <c r="G216" s="100" t="str">
        <f>IF(SP_SUL!M214="","*",SP_SUL!M214)</f>
        <v>ZGM1</v>
      </c>
      <c r="H216" s="154">
        <f>IF(SP_SUL!K214="","*",SP_SUL!K214)</f>
        <v>114.3</v>
      </c>
      <c r="I216" s="132">
        <f>IF(SP_SUL!O214="","*",SP_SUL!O214)</f>
        <v>0.35416666666666669</v>
      </c>
      <c r="J216" s="132">
        <f>IF(SP_SUL!P214="","*",SP_SUL!P214)</f>
        <v>8.3333333333333329E-2</v>
      </c>
      <c r="K216" s="141" t="str">
        <f>IF(SP_SUL!AK214="","*",SP_SUL!AK214)</f>
        <v>109ZPT2</v>
      </c>
      <c r="L216" s="141" t="str">
        <f>IF(SP_SUL!AM214="","*",SP_SUL!AM214)</f>
        <v>ZGM1</v>
      </c>
      <c r="M216" s="141">
        <f>IF(SP_SUL!AP214="","*",SP_SUL!AP214)</f>
        <v>114.3</v>
      </c>
      <c r="N216" s="141" t="str">
        <f>IF(SP_SUL!AM214="","*",SP_SUL!AM214)</f>
        <v>ZGM1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1309</v>
      </c>
      <c r="C2" s="96" t="s">
        <v>854</v>
      </c>
      <c r="D2" s="96" t="s">
        <v>856</v>
      </c>
      <c r="E2" s="96" t="s">
        <v>1310</v>
      </c>
      <c r="F2" s="96" t="s">
        <v>1311</v>
      </c>
      <c r="G2" s="96" t="s">
        <v>1312</v>
      </c>
      <c r="H2" s="96" t="s">
        <v>1313</v>
      </c>
      <c r="I2" s="96" t="s">
        <v>1314</v>
      </c>
      <c r="J2" s="96" t="s">
        <v>1315</v>
      </c>
      <c r="K2" s="131" t="s">
        <v>1316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*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*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*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*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*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*</v>
      </c>
      <c r="F183" s="137" t="str">
        <f>IF(SP_SUL!M196="","*",SP_SUL!M196)</f>
        <v>ZWI-ZYQ</v>
      </c>
      <c r="G183" s="121" t="str">
        <f>IF(SP_SUL!I196="","*",SP_SUL!I196)</f>
        <v>*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*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*</v>
      </c>
      <c r="F184" s="137" t="str">
        <f>IF(SP_SUL!M197="","*",SP_SUL!M197)</f>
        <v>ZWI-ZYQ</v>
      </c>
      <c r="G184" s="121" t="str">
        <f>IF(SP_SUL!I197="","*",SP_SUL!I197)</f>
        <v>*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*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*</v>
      </c>
      <c r="F185" s="137" t="str">
        <f>IF(SP_SUL!M198="","*",SP_SUL!M198)</f>
        <v>ZWI-ZYQ</v>
      </c>
      <c r="G185" s="121" t="str">
        <f>IF(SP_SUL!I198="","*",SP_SUL!I198)</f>
        <v>*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*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*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*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*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*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*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*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*</v>
      </c>
      <c r="C199" s="121">
        <f>IF(SP_SUL!B213="","*",SP_SUL!B213)</f>
        <v>46000</v>
      </c>
      <c r="D199" s="121" t="str">
        <f>IF(SP_SUL!D213="","*",SP_SUL!D213)</f>
        <v>DIEGO (TF-42)</v>
      </c>
      <c r="E199" s="121" t="str">
        <f>IF(SP_SUL!H213="","*",SP_SUL!H213)</f>
        <v>-</v>
      </c>
      <c r="F199" s="137" t="str">
        <f>IF(SP_SUL!M213="","*",SP_SUL!M213)</f>
        <v>ZGM-109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*</v>
      </c>
      <c r="C200" s="121">
        <f>IF(SP_SUL!B214="","*",SP_SUL!B214)</f>
        <v>46000</v>
      </c>
      <c r="D200" s="121" t="str">
        <f>IF(SP_SUL!D214="","*",SP_SUL!D214)</f>
        <v>V85</v>
      </c>
      <c r="E200" s="121" t="str">
        <f>IF(SP_SUL!H214="","*",SP_SUL!H214)</f>
        <v>109ZPT2</v>
      </c>
      <c r="F200" s="137" t="str">
        <f>IF(SP_SUL!M214="","*",SP_SUL!M214)</f>
        <v>ZGM1</v>
      </c>
      <c r="G200" s="121" t="str">
        <f>IF(SP_SUL!I214="","*",SP_SUL!I214)</f>
        <v>ZPTZDR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2025-12-08T17:16:44Z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