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48" documentId="8_{B6337239-1A00-434D-AAD0-422EA1FEB5AE}" xr6:coauthVersionLast="47" xr6:coauthVersionMax="47" xr10:uidLastSave="{54637650-1FE9-4845-A139-E0CB230221A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9" i="1" l="1" a="1"/>
  <c r="H309" i="1" s="1"/>
  <c r="N307" i="1" a="1"/>
  <c r="N307" i="1" s="1"/>
  <c r="M307" i="1" a="1"/>
  <c r="M307" i="1" s="1"/>
  <c r="M305" i="1" a="1"/>
  <c r="M305" i="1" s="1"/>
  <c r="N303" i="1" a="1"/>
  <c r="N303" i="1" s="1"/>
  <c r="M303" i="1" a="1"/>
  <c r="M303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F299" i="13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L401" i="12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F303" i="13"/>
  <c r="L403" i="12"/>
  <c r="R305" i="1"/>
  <c r="S305" i="1" a="1"/>
  <c r="S305" i="1" s="1"/>
  <c r="D403" i="12" s="1"/>
  <c r="T305" i="1" a="1"/>
  <c r="T305" i="1" s="1"/>
  <c r="E403" i="12" s="1"/>
  <c r="U305" i="1"/>
  <c r="AI305" i="1"/>
  <c r="BB305" i="1" s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4" i="13"/>
  <c r="L404" i="12"/>
  <c r="R306" i="1"/>
  <c r="S306" i="1" a="1"/>
  <c r="S306" i="1" s="1"/>
  <c r="D404" i="12" s="1"/>
  <c r="T306" i="1" a="1"/>
  <c r="T306" i="1" s="1"/>
  <c r="E404" i="12" s="1"/>
  <c r="U306" i="1"/>
  <c r="AI306" i="1"/>
  <c r="BB306" i="1" s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F305" i="13"/>
  <c r="L405" i="12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09" i="1" l="1"/>
  <c r="AJ307" i="1"/>
  <c r="AJ306" i="1"/>
  <c r="AJ305" i="1"/>
  <c r="AJ304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429" i="12"/>
  <c r="K428" i="12"/>
  <c r="K427" i="12"/>
  <c r="K426" i="12"/>
  <c r="K425" i="12"/>
  <c r="K424" i="12"/>
  <c r="K423" i="12"/>
  <c r="K422" i="12"/>
  <c r="K421" i="12"/>
  <c r="K420" i="12"/>
  <c r="K419" i="12"/>
  <c r="K418" i="12"/>
  <c r="K417" i="12"/>
  <c r="K416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99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<sst xmlns="http://schemas.openxmlformats.org/spreadsheetml/2006/main" count="6604" uniqueCount="1720">
  <si>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</si>
  <si>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</si>
  <si>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</si>
  <si>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</si>
  <si>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</si>
  <si>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</si>
  <si>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</si>
  <si>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</si>
  <si>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</si>
  <si>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</si>
  <si>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</si>
  <si>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</si>
  <si>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</si>
  <si>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</si>
  <si>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</si>
  <si>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</si>
  <si>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</si>
  <si>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</si>
  <si>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</si>
  <si>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</si>
  <si>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</si>
  <si>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</si>
  <si>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</si>
  <si>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</si>
  <si>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</si>
  <si>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</si>
  <si>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</si>
  <si>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</si>
  <si>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</si>
  <si>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</si>
  <si>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</si>
  <si>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</si>
  <si>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</si>
  <si>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</si>
  <si>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</si>
  <si>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</si>
  <si>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</si>
  <si>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</si>
  <si>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</si>
  <si>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</si>
  <si>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</si>
  <si>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</si>
  <si>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</si>
  <si>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</si>
  <si>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</si>
  <si>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</si>
  <si>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</si>
  <si>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</si>
  <si>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</si>
  <si>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</si>
  <si>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</si>
  <si>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</si>
  <si>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</si>
  <si>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</si>
  <si>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</si>
  <si>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</si>
  <si>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</si>
  <si>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</si>
  <si>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</si>
  <si>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</si>
  <si>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</si>
  <si>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</si>
  <si>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</si>
  <si>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</si>
  <si>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</si>
  <si>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</si>
  <si>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</si>
  <si>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</si>
  <si>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</si>
  <si>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</si>
  <si>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</si>
  <si>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</si>
  <si>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</si>
  <si>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</si>
  <si>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</si>
  <si>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</si>
  <si>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</si>
  <si>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</si>
  <si>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</si>
  <si>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</si>
  <si>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</si>
  <si>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</si>
  <si>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</si>
  <si>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</si>
  <si>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</si>
  <si>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</si>
  <si>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</si>
  <si>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</si>
  <si>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</si>
  <si>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</si>
  <si>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</si>
  <si>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</si>
  <si>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</si>
  <si>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</si>
  <si>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</si>
  <si>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</si>
  <si>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</si>
  <si>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</si>
  <si>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</si>
  <si>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</si>
  <si>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</si>
  <si>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</si>
  <si>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</si>
  <si>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</si>
  <si>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</si>
  <si>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</si>
  <si>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</si>
  <si>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</si>
  <si>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</si>
  <si>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</si>
  <si>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</si>
  <si>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</si>
  <si>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</si>
  <si>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</si>
  <si>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</si>
  <si>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</si>
  <si>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</si>
  <si>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</si>
  <si>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</si>
  <si>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</si>
  <si>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</si>
  <si>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</si>
  <si>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</si>
  <si>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</si>
  <si>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</si>
  <si>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</si>
  <si>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</si>
  <si>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</si>
  <si>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</si>
  <si>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</si>
  <si>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</si>
  <si>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</si>
  <si>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</si>
  <si>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</si>
  <si>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</si>
  <si>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</si>
  <si>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</si>
  <si>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</si>
  <si>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</si>
  <si>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</si>
  <si>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</si>
  <si>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</si>
  <si>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</si>
  <si>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</si>
  <si>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</si>
  <si>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</si>
  <si>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</si>
  <si>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</si>
  <si>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</si>
  <si>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</si>
  <si>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</si>
  <si>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</si>
  <si>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</si>
  <si>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</si>
  <si>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</si>
  <si>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</si>
  <si>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</si>
  <si>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</si>
  <si>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</si>
  <si>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</si>
  <si>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</si>
  <si>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</si>
  <si>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</si>
  <si>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</si>
  <si>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</si>
  <si>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</si>
  <si>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</si>
  <si>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</si>
  <si>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</si>
  <si>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</si>
  <si>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</si>
  <si>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</si>
  <si>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</si>
  <si>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</si>
  <si>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</si>
  <si>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</si>
  <si>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</si>
  <si>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</si>
  <si>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</si>
  <si>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</si>
  <si>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</si>
  <si>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</si>
  <si>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</si>
  <si>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</si>
  <si>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</si>
  <si>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</si>
  <si>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</si>
  <si>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</si>
  <si>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</si>
  <si>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</si>
  <si>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</si>
  <si>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</si>
  <si>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</si>
  <si>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</si>
  <si>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</si>
  <si>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</si>
  <si>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</si>
  <si>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</si>
  <si>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</si>
  <si>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</si>
  <si>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</si>
  <si>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</si>
  <si>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</si>
  <si>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</si>
  <si>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</si>
  <si>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</si>
  <si>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</si>
  <si>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</si>
  <si>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</si>
  <si>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</si>
  <si>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</si>
  <si>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</si>
  <si>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</si>
  <si>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</si>
  <si>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</si>
  <si>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</si>
  <si>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</si>
  <si>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</si>
  <si>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</si>
  <si>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</si>
  <si>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</si>
  <si>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</si>
  <si>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</si>
  <si>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</si>
  <si>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</si>
  <si>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</si>
  <si>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</si>
  <si>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</si>
  <si>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</si>
  <si>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</si>
  <si>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</si>
  <si>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</si>
  <si>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</si>
  <si>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</si>
  <si>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</si>
  <si>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</si>
  <si>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</si>
  <si>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</si>
  <si>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</si>
  <si>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</si>
  <si>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</si>
  <si>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</si>
  <si>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</si>
  <si>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</si>
  <si>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</si>
  <si>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</si>
  <si>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</si>
  <si>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</si>
  <si>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</si>
  <si>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</si>
  <si>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</si>
  <si>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</si>
  <si>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</si>
  <si>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</si>
  <si>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</si>
  <si>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</si>
  <si>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</si>
  <si>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</si>
  <si>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</si>
  <si>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</si>
  <si>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</si>
  <si>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</si>
  <si>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</si>
  <si>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</si>
  <si>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</si>
  <si>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</si>
  <si>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</si>
  <si>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</si>
  <si>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</si>
  <si>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</si>
  <si>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</si>
  <si>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</si>
  <si>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</si>
  <si>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</si>
  <si>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</si>
  <si>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</si>
  <si>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</si>
  <si>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</si>
  <si>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</si>
  <si>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</si>
  <si>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</si>
  <si>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</si>
  <si>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</si>
  <si>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</si>
  <si>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</si>
  <si>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</si>
  <si>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</si>
  <si>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</si>
  <si>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</si>
  <si>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</si>
  <si>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</si>
  <si>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</si>
  <si>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</si>
  <si>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</si>
  <si>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</si>
  <si>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</si>
  <si>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</si>
  <si>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</si>
  <si>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</si>
  <si>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</si>
  <si>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</si>
  <si>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</si>
  <si>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</si>
  <si>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</si>
  <si>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</si>
  <si>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</si>
  <si>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</si>
  <si>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</si>
  <si>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</si>
  <si>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</si>
  <si>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</si>
  <si>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</si>
  <si>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</si>
  <si>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</si>
  <si>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</si>
  <si>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</si>
  <si>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</si>
  <si>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</si>
  <si>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</si>
  <si>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</si>
  <si>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</si>
  <si>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</si>
  <si>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</si>
  <si>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</si>
  <si>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</si>
  <si>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</si>
  <si>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</si>
  <si>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</si>
  <si>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</si>
  <si>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</si>
  <si>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</si>
  <si>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</si>
  <si>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</si>
  <si>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</si>
  <si>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</si>
  <si>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</si>
  <si>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</si>
  <si>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</si>
  <si>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</si>
  <si>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</si>
  <si>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</si>
  <si>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</si>
  <si>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</si>
  <si>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</si>
  <si>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</si>
  <si>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</si>
  <si>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</si>
  <si>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</si>
  <si>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</si>
  <si>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</si>
  <si>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</si>
  <si>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</si>
  <si>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</si>
  <si>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</si>
  <si>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</si>
  <si>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</si>
  <si>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</si>
  <si>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</si>
  <si>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</si>
  <si>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</si>
  <si>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</si>
  <si>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</si>
  <si>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</si>
  <si>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</si>
  <si>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</si>
  <si>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</si>
  <si>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</si>
  <si>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</si>
  <si>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</si>
  <si>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</si>
  <si>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</si>
  <si>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</si>
  <si>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</si>
  <si>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</si>
  <si>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</si>
  <si>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</si>
  <si>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</si>
  <si>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</si>
  <si>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</si>
  <si>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</si>
  <si>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</si>
  <si>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</si>
  <si>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</si>
  <si>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</si>
  <si>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</si>
  <si>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</si>
  <si>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</si>
  <si>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</si>
  <si>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</si>
  <si>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</si>
  <si>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</si>
  <si>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</si>
  <si>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</si>
  <si>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</si>
  <si>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</si>
  <si>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</si>
  <si>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</si>
  <si>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</si>
  <si>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</si>
  <si>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</si>
  <si>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</si>
  <si>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</si>
  <si>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</si>
  <si>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</si>
  <si>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</si>
  <si>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</si>
  <si>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</si>
  <si>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</si>
  <si>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</si>
  <si>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</si>
  <si>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</si>
  <si>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</si>
  <si>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</si>
  <si>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</si>
  <si>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</si>
  <si>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</si>
  <si>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</si>
  <si>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</si>
  <si>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</si>
  <si>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</si>
  <si>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</si>
  <si>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</si>
  <si>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</si>
  <si>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</si>
  <si>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</si>
  <si>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</si>
  <si>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</si>
  <si>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</si>
  <si>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</si>
  <si>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</si>
  <si>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</si>
  <si>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</si>
  <si>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</si>
  <si>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</si>
  <si>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</si>
  <si>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</si>
  <si>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</si>
  <si>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</si>
  <si>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</si>
  <si>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</si>
  <si>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</si>
  <si>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</si>
  <si>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</si>
  <si>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</si>
  <si>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</si>
  <si>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</si>
  <si>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</si>
  <si>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</si>
  <si>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</si>
  <si>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</si>
  <si>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</si>
  <si>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</si>
  <si>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</si>
  <si>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</si>
  <si>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</si>
  <si>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</si>
  <si>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</si>
  <si>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</si>
  <si>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</si>
  <si>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</si>
  <si>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</si>
  <si>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</si>
  <si>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</si>
  <si>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</si>
  <si>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</si>
  <si>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</si>
  <si>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</si>
  <si>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</si>
  <si>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</si>
  <si>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</si>
  <si>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</si>
  <si>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</si>
  <si>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</si>
  <si>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</si>
  <si>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</si>
  <si>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</si>
  <si>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</si>
  <si>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</si>
  <si>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</si>
  <si>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</si>
  <si>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</si>
  <si>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</si>
  <si>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</si>
  <si>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</si>
  <si>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</si>
  <si>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</si>
  <si>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</si>
  <si>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</si>
  <si>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</si>
  <si>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</si>
  <si>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</si>
  <si>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</si>
  <si>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</si>
  <si>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</si>
  <si>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</si>
  <si>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</si>
  <si>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</si>
  <si>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</si>
  <si>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</si>
  <si>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</si>
  <si>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</si>
  <si>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</si>
  <si>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</si>
  <si>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</si>
  <si>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</si>
  <si>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</si>
  <si>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</si>
  <si>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</si>
  <si>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</si>
  <si>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</si>
  <si>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</si>
  <si>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</si>
  <si>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</si>
  <si>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</si>
  <si>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</si>
  <si>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</si>
  <si>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</si>
  <si>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</si>
  <si>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</si>
  <si>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</si>
  <si>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</si>
  <si>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</si>
  <si>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</si>
  <si>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</si>
  <si>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</si>
  <si>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</si>
  <si>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</si>
  <si>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</si>
  <si>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</si>
  <si>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</si>
  <si>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</si>
  <si>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</si>
  <si>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</si>
  <si>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</si>
  <si>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</si>
  <si>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</si>
  <si>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</si>
  <si>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</si>
  <si>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</si>
  <si>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</si>
  <si>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</si>
  <si>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</si>
  <si>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</si>
  <si>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</si>
  <si>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</si>
  <si>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</si>
  <si>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</si>
  <si>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</si>
  <si>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</si>
  <si>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</si>
  <si>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</si>
  <si>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</si>
  <si>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</si>
  <si>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</si>
  <si>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</si>
  <si>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</si>
  <si>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</si>
  <si>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</si>
  <si>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</si>
  <si>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</si>
  <si>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</si>
  <si>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</si>
  <si>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</si>
  <si>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</si>
  <si>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</si>
  <si>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</si>
  <si>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</si>
  <si>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</si>
  <si>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</si>
  <si>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</si>
  <si>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</si>
  <si>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</si>
  <si>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</si>
  <si>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</si>
  <si>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</si>
  <si>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</si>
  <si>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</si>
  <si>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</si>
  <si>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</si>
  <si>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</si>
  <si>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</si>
  <si>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</si>
  <si>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</si>
  <si>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</si>
  <si>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</si>
  <si>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</si>
  <si>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</si>
  <si>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</si>
  <si>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</si>
  <si>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</si>
  <si>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</si>
  <si>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</si>
  <si>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</si>
  <si>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</si>
  <si>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</si>
  <si>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</si>
  <si>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</si>
  <si>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</si>
  <si>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</si>
  <si>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</si>
  <si>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</si>
  <si>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</si>
  <si>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</si>
  <si>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</si>
  <si>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</si>
  <si>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</si>
  <si>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</si>
  <si>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</si>
  <si>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</si>
  <si>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</si>
  <si>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</si>
  <si>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</si>
  <si>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</si>
  <si>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</si>
  <si>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</si>
  <si>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</si>
  <si>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</si>
  <si>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</si>
  <si>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</si>
  <si>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</si>
  <si>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</si>
  <si>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</si>
  <si>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</si>
  <si>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</si>
  <si>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</si>
  <si>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</si>
  <si>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</si>
  <si>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</si>
  <si>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</si>
  <si>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</si>
  <si>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</si>
  <si>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</si>
  <si>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</si>
  <si>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</si>
  <si>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</si>
  <si>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</si>
  <si>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</si>
  <si>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</si>
  <si>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</si>
  <si>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</si>
  <si>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</si>
  <si>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</si>
  <si>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</si>
  <si>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</si>
  <si>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</si>
  <si>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</si>
  <si>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</si>
  <si>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</si>
  <si>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</si>
  <si>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</si>
  <si>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</si>
  <si>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</si>
  <si>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</si>
  <si>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</si>
  <si>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</si>
  <si>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</si>
  <si>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</si>
  <si>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</si>
  <si>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</si>
  <si>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</si>
  <si>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</si>
  <si>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</si>
  <si>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</si>
  <si>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</si>
  <si>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</si>
  <si>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</si>
  <si>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</si>
  <si>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</si>
  <si>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</si>
  <si>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</si>
  <si>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</si>
  <si>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</si>
  <si>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</si>
  <si>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</si>
  <si>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</si>
  <si>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</si>
  <si>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</si>
  <si>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</si>
  <si>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</si>
  <si>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</si>
  <si>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</si>
  <si>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</si>
  <si>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</si>
  <si>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</si>
  <si>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</si>
  <si>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</si>
  <si>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</si>
  <si>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</si>
  <si>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</si>
  <si>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</si>
  <si>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</si>
  <si>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</si>
  <si>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</si>
  <si>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</si>
  <si>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</si>
  <si>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</si>
  <si>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</si>
  <si>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</si>
  <si>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</si>
  <si>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</si>
  <si>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</si>
  <si>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</si>
  <si>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</si>
  <si>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</si>
  <si>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</si>
  <si>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</si>
  <si>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</si>
  <si>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</si>
  <si>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</si>
  <si>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</si>
  <si>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</si>
  <si>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</si>
  <si>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</si>
  <si>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</si>
  <si>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</si>
  <si>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</si>
  <si>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</si>
  <si>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</si>
  <si>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</si>
  <si>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</si>
  <si>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</si>
  <si>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</si>
  <si>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</si>
  <si>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</si>
  <si>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</si>
  <si>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</si>
  <si>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</si>
  <si>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</si>
  <si>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</si>
  <si>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</si>
  <si>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</si>
  <si>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</si>
  <si>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</si>
  <si>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</si>
  <si>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</si>
  <si>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</si>
  <si>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</si>
  <si>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</si>
  <si>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</si>
  <si>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</si>
  <si>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</si>
  <si>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</si>
  <si>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</si>
  <si>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</si>
  <si>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</si>
  <si>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</si>
  <si>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</si>
  <si>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</si>
  <si>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</si>
  <si>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</si>
  <si>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</si>
  <si>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</si>
  <si>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</si>
  <si>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</si>
  <si>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</si>
  <si>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</si>
  <si>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</si>
  <si>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</si>
  <si>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</si>
  <si>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</si>
  <si>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</si>
  <si>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</si>
  <si>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</si>
  <si>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</si>
  <si>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</si>
  <si>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</si>
  <si>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</si>
  <si>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</si>
  <si>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</si>
  <si>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</si>
  <si>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</si>
  <si>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</si>
  <si>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</si>
  <si>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</si>
  <si>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</si>
  <si>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</si>
  <si>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</si>
  <si>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</si>
  <si>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</si>
  <si>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</si>
  <si>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</si>
  <si>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</si>
  <si>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</si>
  <si>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</si>
  <si>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</si>
  <si>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</si>
  <si>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</si>
  <si>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</si>
  <si>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</si>
  <si>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</si>
  <si>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</si>
  <si>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</si>
  <si>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</si>
  <si>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</si>
  <si>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</si>
  <si>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</si>
  <si>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</si>
  <si>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</si>
  <si>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</si>
  <si>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</si>
  <si>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</si>
  <si>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</si>
  <si>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</si>
  <si>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</si>
  <si>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</si>
  <si>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</si>
  <si>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</si>
  <si>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</si>
  <si>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</si>
  <si>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</si>
  <si>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</si>
  <si>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</si>
  <si>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</si>
  <si>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</si>
  <si>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</si>
  <si>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</si>
  <si>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</si>
  <si>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</si>
  <si>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</si>
  <si>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</si>
  <si>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</si>
  <si>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</si>
  <si>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</si>
  <si>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</si>
  <si>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</si>
  <si>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</si>
  <si>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</si>
  <si>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</si>
  <si>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</si>
  <si>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</si>
  <si>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</si>
  <si>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</si>
  <si>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</si>
  <si>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</si>
  <si>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</si>
  <si>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</si>
  <si>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</si>
  <si>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</si>
  <si>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</si>
  <si>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</si>
  <si>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</si>
  <si>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</si>
  <si>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</si>
  <si>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</si>
  <si>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</si>
  <si>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</si>
  <si>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</si>
  <si>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</si>
  <si>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</si>
  <si>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</si>
  <si>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</si>
  <si>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</si>
  <si>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</si>
  <si>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</si>
  <si>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</si>
  <si>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</si>
  <si>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</si>
  <si>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</si>
  <si>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</si>
  <si>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</si>
  <si>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</si>
  <si>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</si>
  <si>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</si>
  <si>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</si>
  <si>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</si>
  <si>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</si>
  <si>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</si>
  <si>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</si>
  <si>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</si>
  <si>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</si>
  <si>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</si>
  <si>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</si>
  <si>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</si>
  <si>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</si>
  <si>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</si>
  <si>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</si>
  <si>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</si>
  <si>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</si>
  <si>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</si>
  <si>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</si>
  <si>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</si>
  <si>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</si>
  <si>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</si>
  <si>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</si>
  <si>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</si>
  <si>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</si>
  <si>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</si>
  <si>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</si>
  <si>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</si>
  <si>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</si>
  <si>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</si>
  <si>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</si>
  <si>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</si>
  <si>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</si>
  <si>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</si>
  <si>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</si>
  <si>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</si>
  <si>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</si>
  <si>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</si>
  <si>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</si>
  <si>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</si>
  <si>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</si>
  <si>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</si>
  <si>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</si>
  <si>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</si>
  <si>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</si>
  <si>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</si>
  <si>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</si>
  <si>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</si>
  <si>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</si>
  <si>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</si>
  <si>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</si>
  <si>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</si>
  <si>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</si>
  <si>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</si>
  <si>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</si>
  <si>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</si>
  <si>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</si>
  <si>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</si>
  <si>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</si>
  <si>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</si>
  <si>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</si>
  <si>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</si>
  <si>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</si>
  <si>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</si>
  <si>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</si>
  <si>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</si>
  <si>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</si>
  <si>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</si>
  <si>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</si>
  <si>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</si>
  <si>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</si>
  <si>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</si>
  <si>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</si>
  <si>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</si>
  <si>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</si>
  <si>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</si>
  <si>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</si>
  <si>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</si>
  <si>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</si>
  <si>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</si>
  <si>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</si>
  <si>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</si>
  <si>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</si>
  <si>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</si>
  <si>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</si>
  <si>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</si>
  <si>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</si>
  <si>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</si>
  <si>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</si>
  <si>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</si>
  <si>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</si>
  <si>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</si>
  <si>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</si>
  <si>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</si>
  <si>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</si>
  <si>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</si>
  <si>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</si>
  <si>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</si>
  <si>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</si>
  <si>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</si>
  <si>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</si>
  <si>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</si>
  <si>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</si>
  <si>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</si>
  <si>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</si>
  <si>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</si>
  <si>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</si>
  <si>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</si>
  <si>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</si>
  <si>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</si>
  <si>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</si>
  <si>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</si>
  <si>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</si>
  <si>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</si>
  <si>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</si>
  <si>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</si>
  <si>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</si>
  <si>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</si>
  <si>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</si>
  <si>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</si>
  <si>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</si>
  <si>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</si>
  <si>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</si>
  <si>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</si>
  <si>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</si>
  <si>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</si>
  <si>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</si>
  <si>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</si>
  <si>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</si>
  <si>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</si>
  <si>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</si>
  <si>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</si>
  <si>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</si>
  <si>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</si>
  <si>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</si>
  <si>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</si>
  <si>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</si>
  <si>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</si>
  <si>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</si>
  <si>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</si>
  <si>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</si>
  <si>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</si>
  <si>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</si>
  <si>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</si>
  <si>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</si>
  <si>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</si>
  <si>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</si>
  <si>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</si>
  <si>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</si>
  <si>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</si>
  <si>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</si>
  <si>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</si>
  <si>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</si>
  <si>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</si>
  <si>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</si>
  <si>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</si>
  <si>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</si>
  <si>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</si>
  <si>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</si>
  <si>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</si>
  <si>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</si>
  <si>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</si>
  <si>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</si>
  <si>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</si>
  <si>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</si>
  <si>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</si>
  <si>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</si>
  <si>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</si>
  <si>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</si>
  <si>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</si>
  <si>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</si>
  <si>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</si>
  <si>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</si>
  <si>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</si>
  <si>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</si>
  <si>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</si>
  <si>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</si>
  <si>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</si>
  <si>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</si>
  <si>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</si>
  <si>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</si>
  <si>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</si>
  <si>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</si>
  <si>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</si>
  <si>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</si>
  <si>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</si>
  <si>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</si>
  <si>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</si>
  <si>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</si>
  <si>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</si>
  <si>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</si>
  <si>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</si>
  <si>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</si>
  <si>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</si>
  <si>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</si>
  <si>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</si>
  <si>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</si>
  <si>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</si>
  <si>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</si>
  <si>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</si>
  <si>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</si>
  <si>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</si>
  <si>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</si>
  <si>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</si>
  <si>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</si>
  <si>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</si>
  <si>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</si>
  <si>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</si>
  <si>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</si>
  <si>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</si>
  <si>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</si>
  <si>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</si>
  <si>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</si>
  <si>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</si>
  <si>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</si>
  <si>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</si>
  <si>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</si>
  <si>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</si>
  <si>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</si>
  <si>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</si>
  <si>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</si>
  <si>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</si>
  <si>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</si>
  <si>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</si>
  <si>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</si>
  <si>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</si>
  <si>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</si>
  <si>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</si>
  <si>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</si>
  <si>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</si>
  <si>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</si>
  <si>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</si>
  <si>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</si>
  <si>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</si>
  <si>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</si>
  <si>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</si>
  <si>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</si>
  <si>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</si>
  <si>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</si>
  <si>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</si>
  <si>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</si>
  <si>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</si>
  <si>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</si>
  <si>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</si>
  <si>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</si>
  <si>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</si>
  <si>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</si>
  <si>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</si>
  <si>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</si>
  <si>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</si>
  <si>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</si>
  <si>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</si>
  <si>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</si>
  <si>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</si>
  <si>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</si>
  <si>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</si>
  <si>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</si>
  <si>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</si>
  <si>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</si>
  <si>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</si>
  <si>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</si>
  <si>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</si>
  <si>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</si>
  <si>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</si>
  <si>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</si>
  <si>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</si>
  <si>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</si>
  <si>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</si>
  <si>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</si>
  <si>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</si>
  <si>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</si>
  <si>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</si>
  <si>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</si>
  <si>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</si>
  <si>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</si>
  <si>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</si>
  <si>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</si>
  <si>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</si>
  <si>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</si>
  <si>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</si>
  <si>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</si>
  <si>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</si>
  <si>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</si>
  <si>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</si>
  <si>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</si>
  <si>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</si>
  <si>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</si>
  <si>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</si>
  <si>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</si>
  <si>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</si>
  <si>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</si>
  <si>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</si>
  <si>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</si>
  <si>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</si>
  <si>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</si>
  <si>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</si>
  <si>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</si>
  <si>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</si>
  <si>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</si>
  <si>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</si>
  <si>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</si>
  <si>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</si>
  <si>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</si>
  <si>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</si>
  <si>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</si>
  <si>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</si>
  <si>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</si>
  <si>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</si>
  <si>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</si>
  <si>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</si>
  <si>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</si>
  <si>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</si>
  <si>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</si>
  <si>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</si>
  <si>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</si>
  <si>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</si>
  <si>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</si>
  <si>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</si>
  <si>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</si>
  <si>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</si>
  <si>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</si>
  <si>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</si>
  <si>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</si>
  <si>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</si>
  <si>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</si>
  <si>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</si>
  <si>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</si>
  <si>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</si>
  <si>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</si>
  <si>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</si>
  <si>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</si>
  <si>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</si>
  <si>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</si>
  <si>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</si>
  <si>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</si>
  <si>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</si>
  <si>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</si>
  <si>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</si>
  <si>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</si>
  <si>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</si>
  <si>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</si>
  <si>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</si>
  <si>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</si>
  <si>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</si>
  <si>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</si>
  <si>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</si>
  <si>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</si>
  <si>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</si>
  <si>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</si>
  <si>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</si>
  <si>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</si>
  <si>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</si>
  <si>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</si>
  <si>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</si>
  <si>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</si>
  <si>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</si>
  <si>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</si>
  <si>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</si>
  <si>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</si>
  <si>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</si>
  <si>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</si>
  <si>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</si>
  <si>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</si>
  <si>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</si>
  <si>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</si>
  <si>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</si>
  <si>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</si>
  <si>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</si>
  <si>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</si>
  <si>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</si>
  <si>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</si>
  <si>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</si>
  <si>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</si>
  <si>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</si>
  <si>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</si>
  <si>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</si>
  <si>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</si>
  <si>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</si>
  <si>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</si>
  <si>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</si>
  <si>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</si>
  <si>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</si>
  <si>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</si>
  <si>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</si>
  <si>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</si>
  <si>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</si>
  <si>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</si>
  <si>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</si>
  <si>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</si>
  <si>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</si>
  <si>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</si>
  <si>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</si>
  <si>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</si>
  <si>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</si>
  <si>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</si>
  <si>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</si>
  <si>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</si>
  <si>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</si>
  <si>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</si>
  <si>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</si>
  <si>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</si>
  <si>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</si>
  <si>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</si>
  <si>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</si>
  <si>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</si>
  <si>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</si>
  <si>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</si>
  <si>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</si>
  <si>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</si>
  <si>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</si>
  <si>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</si>
  <si>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</si>
  <si>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</si>
  <si>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</si>
  <si>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</si>
  <si>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</si>
  <si>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</si>
  <si>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</si>
  <si>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</si>
  <si>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</si>
  <si>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</si>
  <si>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</si>
  <si>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</si>
  <si>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</si>
  <si>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</si>
  <si>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</si>
  <si>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</si>
  <si>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</si>
  <si>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</si>
  <si>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</si>
  <si>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</si>
  <si>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</si>
  <si>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</si>
  <si>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</si>
  <si>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</si>
  <si>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</si>
  <si>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</si>
  <si>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</si>
  <si>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</si>
  <si>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</si>
  <si>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</si>
  <si>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</si>
  <si>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</si>
  <si>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</si>
  <si>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</si>
  <si>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</si>
  <si>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</si>
  <si>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</si>
  <si>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</si>
  <si>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</si>
  <si>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</si>
  <si>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</si>
  <si>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</si>
  <si>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</si>
  <si>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</si>
  <si>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</si>
  <si>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</si>
  <si>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</si>
  <si>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</si>
  <si>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</si>
  <si>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</si>
  <si>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</si>
  <si>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</si>
  <si>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</si>
  <si>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</si>
  <si>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</si>
  <si>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</si>
  <si>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</si>
  <si>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</si>
  <si>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</si>
  <si>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</si>
  <si>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</si>
  <si>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</si>
  <si>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</si>
  <si>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</si>
  <si>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</si>
  <si>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</si>
  <si>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</si>
  <si>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</si>
  <si>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</si>
  <si>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</si>
  <si>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</si>
  <si>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</si>
  <si>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</si>
  <si>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</si>
  <si>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</si>
  <si>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</si>
  <si>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</si>
  <si>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</si>
  <si>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</si>
  <si>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</si>
  <si>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</si>
  <si>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</si>
  <si>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</si>
  <si>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</si>
  <si>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</si>
  <si>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</si>
  <si>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</si>
  <si>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</si>
  <si>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</si>
  <si>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</si>
  <si>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</si>
  <si>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</si>
  <si>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</si>
  <si>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</si>
  <si>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</si>
  <si>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</si>
  <si>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</si>
  <si>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</si>
  <si>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</si>
  <si>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</si>
  <si>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</si>
  <si>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</si>
  <si>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</si>
  <si>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</si>
  <si>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</si>
  <si>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</si>
  <si>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</si>
  <si>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</si>
  <si>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</si>
  <si>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</si>
  <si>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</si>
  <si>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</si>
  <si>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</si>
  <si>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</si>
  <si>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</si>
  <si>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</si>
  <si>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</si>
  <si>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</si>
  <si>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</si>
  <si>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</si>
  <si>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</si>
  <si>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</si>
  <si>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</si>
  <si>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</si>
  <si>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</si>
  <si>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</si>
  <si>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</si>
  <si>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</si>
  <si>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</si>
  <si>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</si>
  <si>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</si>
  <si>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</si>
  <si>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</si>
  <si>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</si>
  <si>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</si>
  <si>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</si>
  <si>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</si>
  <si>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</si>
  <si>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</si>
  <si>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</si>
  <si>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</si>
  <si>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</si>
  <si>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</si>
  <si>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</si>
  <si>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</si>
  <si>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</si>
  <si>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</si>
  <si>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</si>
  <si>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</si>
  <si>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</si>
  <si>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</si>
  <si>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</si>
  <si>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</si>
  <si>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</si>
  <si>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</si>
  <si>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</si>
  <si>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</si>
  <si>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</si>
  <si>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</si>
  <si>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</si>
  <si>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</si>
  <si>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</si>
  <si>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</si>
  <si>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</si>
  <si>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</si>
  <si>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</si>
  <si>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</si>
  <si>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</si>
  <si>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</si>
  <si>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</si>
  <si>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</si>
  <si>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</si>
  <si>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</si>
  <si>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</si>
  <si>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</si>
  <si>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</si>
  <si>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</si>
  <si>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</si>
  <si>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</si>
  <si>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</si>
  <si>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</si>
  <si>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</si>
  <si>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</si>
  <si>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</si>
  <si>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</si>
  <si>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</si>
  <si>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</si>
  <si>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</si>
  <si>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</si>
  <si>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</si>
  <si>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</si>
  <si>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</si>
  <si>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</si>
  <si>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</si>
  <si>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</si>
  <si>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</si>
  <si>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</si>
  <si>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</si>
  <si>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</si>
  <si>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</si>
  <si>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</si>
  <si>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</si>
  <si>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</si>
  <si>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</si>
  <si>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</si>
  <si>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</si>
  <si>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</si>
  <si>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</si>
  <si>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</si>
  <si>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</si>
  <si>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</si>
  <si>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</si>
  <si>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</si>
  <si>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</si>
  <si>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</si>
  <si>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</si>
  <si>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</si>
  <si>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</si>
  <si>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</si>
  <si>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</si>
  <si>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</si>
  <si>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</si>
  <si>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</si>
  <si>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</si>
  <si>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</si>
  <si>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</si>
  <si>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</si>
  <si>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</si>
  <si>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</si>
  <si>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</si>
  <si>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</si>
  <si>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</si>
  <si>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</si>
  <si>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</si>
  <si>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</si>
  <si>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</si>
  <si>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</si>
  <si>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</si>
  <si>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</si>
  <si>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</si>
  <si>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</si>
  <si>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</si>
  <si>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</si>
  <si>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</si>
  <si>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</si>
  <si>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</si>
  <si>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</si>
  <si>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</si>
  <si>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</si>
  <si>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</si>
  <si>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</si>
  <si>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</si>
  <si>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</si>
  <si>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</si>
  <si>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</si>
  <si>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</si>
  <si>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</si>
  <si>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</si>
  <si>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</si>
  <si>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</si>
  <si>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</si>
  <si>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</si>
  <si>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</si>
  <si>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</si>
  <si>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</si>
  <si>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</si>
  <si>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</si>
  <si>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</si>
  <si>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</si>
  <si>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</si>
  <si>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</si>
  <si>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</si>
  <si>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</si>
  <si>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</si>
  <si>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</si>
  <si>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</si>
  <si>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</si>
  <si>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</si>
  <si>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</si>
  <si>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</si>
  <si>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</si>
  <si>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</si>
  <si>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</si>
  <si>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</si>
  <si>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</si>
  <si>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</si>
  <si>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</si>
  <si>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</si>
  <si>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</si>
  <si>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</si>
  <si>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</si>
  <si>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</si>
  <si>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</si>
  <si>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</si>
  <si>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</si>
  <si>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</si>
  <si>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</si>
  <si>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</si>
  <si>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</si>
  <si>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</si>
  <si>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</si>
  <si>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</si>
  <si>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</si>
  <si>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</si>
  <si>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</si>
  <si>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</si>
  <si>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</si>
  <si>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</si>
  <si>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</si>
  <si>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</si>
  <si>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</si>
  <si>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</si>
  <si>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</si>
  <si>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</si>
  <si>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</si>
  <si>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</si>
  <si>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</si>
  <si>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</si>
  <si>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</si>
  <si>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</si>
  <si>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</si>
  <si>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</si>
  <si>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</si>
  <si>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</si>
  <si>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</si>
  <si>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</si>
  <si>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</si>
  <si>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</si>
  <si>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</si>
  <si>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</si>
  <si>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</si>
  <si>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</si>
  <si>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</si>
  <si>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</si>
  <si>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</si>
  <si>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</si>
  <si>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</si>
  <si>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</si>
  <si>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</si>
  <si>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</si>
  <si>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</si>
  <si>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</si>
  <si>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</si>
  <si>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</si>
  <si>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</si>
  <si>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</si>
  <si>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</si>
  <si>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</si>
  <si>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</si>
  <si>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</si>
  <si>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</si>
  <si>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</si>
  <si>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</si>
  <si>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</si>
  <si>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</si>
  <si>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</si>
  <si>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</si>
  <si>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</si>
  <si>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</si>
  <si>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</si>
  <si>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</si>
  <si>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</si>
  <si>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</si>
  <si>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</si>
  <si>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</si>
  <si>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</si>
  <si>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</si>
  <si>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</si>
  <si>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</si>
  <si>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</si>
  <si>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</si>
  <si>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</si>
  <si>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</si>
  <si>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</si>
  <si>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</si>
  <si>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</si>
  <si>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</si>
  <si>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TP pronto às 10h00 no km 301+000 em THE Sul para exec. de soldas / Prev. FX após i94 12h10</t>
  </si>
  <si>
    <t>TP pronto às 10h00 no km 301+000 em THE Sul para exec. de soldas / Em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</si>
  <si>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</si>
  <si>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</si>
  <si>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</si>
  <si>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</si>
  <si>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</si>
  <si>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</si>
  <si>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</si>
  <si>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</si>
  <si>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</si>
  <si>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</si>
  <si>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</si>
  <si>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</si>
  <si>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</si>
  <si>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</si>
  <si>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Marcos Euzébio</t>
  </si>
  <si>
    <t>Execução de solda - Condicionado à temperatura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</si>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</sst>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G300" activePane="bottomRight" state="frozen"/>
      <selection pane="bottomRight" activeCell="J310" sqref="J3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ERRO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1</v>
      </c>
      <c r="BI281" s="16"/>
      <c r="BJ281" s="16" t="s">
        <v>1641</v>
      </c>
      <c r="BK281" s="16" t="s">
        <v>1641</v>
      </c>
      <c r="BL281" s="15"/>
      <c r="BM281" s="14"/>
      <c r="BN281" s="14"/>
      <c r="BO281" s="160"/>
      <c r="BP281" s="16"/>
      <c r="BQ281" s="12" t="e">
        <f t="shared" si="50"/>
        <v>#VALUE!</v>
      </c>
      <c r="BR281" s="18" t="e">
        <f t="shared" si="51"/>
        <v>#VALUE!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1642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1643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 t="s">
        <v>1644</v>
      </c>
      <c r="BK287" s="16" t="s">
        <v>1644</v>
      </c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1645</v>
      </c>
      <c r="N288" s="199" t="s">
        <v>1646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1647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ERRO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1648</v>
      </c>
      <c r="BK288" s="16" t="s">
        <v>1648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e">
        <f t="shared" si="50"/>
        <v>#VALUE!</v>
      </c>
      <c r="BR288" s="18" t="e">
        <f t="shared" si="51"/>
        <v>#VALUE!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ERRO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1</v>
      </c>
      <c r="BI289" s="16"/>
      <c r="BJ289" s="16" t="s">
        <v>1649</v>
      </c>
      <c r="BK289" s="16" t="s">
        <v>1650</v>
      </c>
      <c r="BL289" s="15"/>
      <c r="BM289" s="14"/>
      <c r="BN289" s="14"/>
      <c r="BO289" s="160"/>
      <c r="BP289" s="16"/>
      <c r="BQ289" s="12" t="e">
        <f t="shared" si="50"/>
        <v>#VALUE!</v>
      </c>
      <c r="BR289" s="18" t="e">
        <f t="shared" si="51"/>
        <v>#VALUE!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1651</v>
      </c>
      <c r="X290" s="213" t="s">
        <v>374</v>
      </c>
      <c r="Y290" s="153" t="s">
        <v>377</v>
      </c>
      <c r="Z290" s="153"/>
      <c r="AA290" s="83" t="s">
        <v>1652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 t="s">
        <v>1653</v>
      </c>
      <c r="BK290" s="16" t="s">
        <v>1653</v>
      </c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1654</v>
      </c>
      <c r="BK292" s="16" t="s">
        <v>1655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1656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ERRO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1</v>
      </c>
      <c r="BI295" s="16"/>
      <c r="BJ295" s="16" t="s">
        <v>1657</v>
      </c>
      <c r="BK295" s="16" t="s">
        <v>1657</v>
      </c>
      <c r="BL295" s="15"/>
      <c r="BM295" s="14"/>
      <c r="BN295" s="14"/>
      <c r="BO295" s="160"/>
      <c r="BP295" s="16"/>
      <c r="BQ295" s="12" t="e">
        <f t="shared" si="50"/>
        <v>#VALUE!</v>
      </c>
      <c r="BR295" s="18" t="e">
        <f t="shared" si="51"/>
        <v>#VALUE!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1658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1659</v>
      </c>
      <c r="BK296" s="16" t="s">
        <v>1659</v>
      </c>
      <c r="BL296" s="15"/>
      <c r="BM296" s="14"/>
      <c r="BN296" s="14"/>
      <c r="BO296" s="160"/>
      <c r="BP296" s="16"/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1660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1661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1662</v>
      </c>
      <c r="BK298" s="16" t="s">
        <v>1662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1663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587</v>
      </c>
      <c r="I303" s="168" t="s">
        <v>1133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0.45833333333333331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1642</v>
      </c>
      <c r="X303" s="213" t="s">
        <v>374</v>
      </c>
      <c r="Y303" s="153"/>
      <c r="Z303" s="153"/>
      <c r="AA303" s="83" t="s">
        <v>1664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TIQ</v>
      </c>
      <c r="AL303" s="279" t="str">
        <f>IF(BS_CONTROLE[[#This Row],[Local - Encerramento]]=0, "-", BS_CONTROLE[[#This Row],[Local - Encerramento]])</f>
        <v>TGR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>ELSON (TF-526)46042</v>
      </c>
      <c r="B304" s="166">
        <v>46042</v>
      </c>
      <c r="C304" s="8">
        <f>IF(BS_CONTROLE[[#This Row],[DATA]]="","",WEEKNUM(BS_CONTROLE[[#This Row],[DATA]]))</f>
        <v>4</v>
      </c>
      <c r="D304" s="51" t="s">
        <v>300</v>
      </c>
      <c r="E304" s="314">
        <v>391</v>
      </c>
      <c r="F304" s="167" t="s">
        <v>194</v>
      </c>
      <c r="G304" s="9" t="str">
        <f>IF(D304="","*",VLOOKUP(F304,BS_ATIVIDADE[#All],3,FALSE))</f>
        <v>SOLDA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Nº DE SOLDA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e">
        <f t="shared" si="50"/>
        <v>#DIV/0!</v>
      </c>
      <c r="BR304" s="18" t="e">
        <f t="shared" si="51"/>
        <v>#DIV/0!</v>
      </c>
      <c r="BS304" s="18" t="e">
        <f t="shared" si="52"/>
        <v>#DIV/0!</v>
      </c>
      <c r="BT304" s="220" t="str">
        <f t="shared" si="53"/>
        <v/>
      </c>
    </row>
    <row r="305" spans="1:72" hidden="1">
      <c r="A305" s="50" t="str">
        <f t="shared" si="49"/>
        <v>MARCOS (TF-520)46042</v>
      </c>
      <c r="B305" s="166">
        <v>46042</v>
      </c>
      <c r="C305" s="8">
        <f>IF(BS_CONTROLE[[#This Row],[DATA]]="","",WEEKNUM(BS_CONTROLE[[#This Row],[DATA]]))</f>
        <v>4</v>
      </c>
      <c r="D305" s="51" t="s">
        <v>330</v>
      </c>
      <c r="E305" s="314">
        <v>394</v>
      </c>
      <c r="F305" s="167" t="s">
        <v>194</v>
      </c>
      <c r="G305" s="9" t="str">
        <f>IF(D305="","*",VLOOKUP(F305,BS_ATIVIDADE[#All],3,FALSE))</f>
        <v>SOLDA</v>
      </c>
      <c r="H305" s="168" t="s">
        <v>804</v>
      </c>
      <c r="I305" s="168" t="s">
        <v>11</v>
      </c>
      <c r="J305" s="212">
        <v>74</v>
      </c>
      <c r="K305" s="212">
        <v>289.7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5" s="199" t="s">
        <v>804</v>
      </c>
      <c r="O305" s="168">
        <v>0.375</v>
      </c>
      <c r="P305" s="168">
        <v>8.3333333333333329E-2</v>
      </c>
      <c r="Q305" s="83">
        <v>2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5" s="80" t="str">
        <f>IFERROR(_xlfn.XLOOKUP(J305, BASE_MAPA!$E$2:$E$359, BASE_MAPA!$J$2:$J$359), "ERRO")</f>
        <v>MARCO INICIAL - ALTO ARAGUAIA</v>
      </c>
      <c r="V305" s="193" t="s">
        <v>1665</v>
      </c>
      <c r="W305" s="168" t="s">
        <v>1666</v>
      </c>
      <c r="X305" s="213" t="s">
        <v>374</v>
      </c>
      <c r="Y305" s="153"/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TCS2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TCS</v>
      </c>
      <c r="AN305" s="279" t="str">
        <f>IF(BS_CONTROLE[[#This Row],[SB]]=0, "-", BS_CONTROLE[[#This Row],[SB]])</f>
        <v>TCS2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289.7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Marcos Euzébio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 hidden="1">
      <c r="A306" s="50" t="str">
        <f t="shared" si="49"/>
        <v>A6046042</v>
      </c>
      <c r="B306" s="166">
        <v>46042</v>
      </c>
      <c r="C306" s="8">
        <f>IF(BS_CONTROLE[[#This Row],[DATA]]="","",WEEKNUM(BS_CONTROLE[[#This Row],[DATA]]))</f>
        <v>4</v>
      </c>
      <c r="D306" s="51" t="s">
        <v>107</v>
      </c>
      <c r="E306" s="314">
        <v>408</v>
      </c>
      <c r="F306" s="167" t="s">
        <v>33</v>
      </c>
      <c r="G306" s="9" t="str">
        <f>IF(D306="","*",VLOOKUP(F306,BS_ATIVIDADE[#All],3,FALSE))</f>
        <v>DETECÇÃO</v>
      </c>
      <c r="H306" s="168" t="s">
        <v>804</v>
      </c>
      <c r="I306" s="168" t="s">
        <v>1135</v>
      </c>
      <c r="J306" s="212">
        <v>74</v>
      </c>
      <c r="K306" s="212">
        <v>290</v>
      </c>
      <c r="L306" s="83" t="s">
        <v>11</v>
      </c>
      <c r="M306" s="199" t="s">
        <v>732</v>
      </c>
      <c r="N306" s="199" t="s">
        <v>1542</v>
      </c>
      <c r="O306" s="168">
        <v>0.375</v>
      </c>
      <c r="P306" s="168">
        <v>4.1666666666666664E-2</v>
      </c>
      <c r="Q306" s="83">
        <v>210</v>
      </c>
      <c r="R306" s="10" t="str">
        <f>IFERROR(_xlfn.XLOOKUP(F306, BS_ATIVIDADE[ATIVIDADE],BS_ATIVIDADE[UNIDADE] ), "*")</f>
        <v>KM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1284</v>
      </c>
      <c r="W306" s="168" t="s">
        <v>1667</v>
      </c>
      <c r="X306" s="213" t="s">
        <v>374</v>
      </c>
      <c r="Y306" s="153"/>
      <c r="Z306" s="153"/>
      <c r="AA306" s="83">
        <v>1</v>
      </c>
      <c r="AB306" s="70" t="s">
        <v>366</v>
      </c>
      <c r="AC306" s="70" t="s">
        <v>361</v>
      </c>
      <c r="AD306" s="168">
        <v>0.33333333333333331</v>
      </c>
      <c r="AE306" s="83">
        <v>5487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DETECÇÃO - RONDA 7 DIAS</v>
      </c>
      <c r="AJ306" s="9" t="str">
        <f>IF(D306="","*",VLOOKUP(AI306,BS_ATIVIDADE[#Data],3,FALSE))</f>
        <v>DETECÇÃO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TGR2</v>
      </c>
      <c r="AM306" s="279" t="str">
        <f>IF(BS_CONTROLE[[#This Row],[Entre - Estações]]=0, "-", BS_CONTROLE[[#This Row],[Entre - Estações]])</f>
        <v>TCS-TGR</v>
      </c>
      <c r="AN306" s="279" t="str">
        <f>IF(BS_CONTROLE[[#This Row],[SB]]=0, "-", BS_CONTROLE[[#This Row],[SB]])</f>
        <v>TCSTGR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290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KM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Herbert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 hidden="1">
      <c r="A307" s="50" t="str">
        <f t="shared" si="49"/>
        <v>W5046042</v>
      </c>
      <c r="B307" s="166">
        <v>46042</v>
      </c>
      <c r="C307" s="8">
        <f>IF(BS_CONTROLE[[#This Row],[DATA]]="","",WEEKNUM(BS_CONTROLE[[#This Row],[DATA]]))</f>
        <v>4</v>
      </c>
      <c r="D307" s="51" t="s">
        <v>240</v>
      </c>
      <c r="E307" s="314">
        <v>408</v>
      </c>
      <c r="F307" s="167" t="s">
        <v>134</v>
      </c>
      <c r="G307" s="9" t="str">
        <f>IF(D307="","*",VLOOKUP(F307,BS_ATIVIDADE[#All],3,FALSE))</f>
        <v>MODERNIZAÇÃO</v>
      </c>
      <c r="H307" s="168" t="s">
        <v>804</v>
      </c>
      <c r="I307" s="168" t="s">
        <v>804</v>
      </c>
      <c r="J307" s="212">
        <v>74</v>
      </c>
      <c r="K307" s="212">
        <v>197</v>
      </c>
      <c r="L307" s="83">
        <v>194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7" s="168">
        <v>0.35416666666666669</v>
      </c>
      <c r="P307" s="168">
        <v>0.125</v>
      </c>
      <c r="Q307" s="83">
        <v>1000</v>
      </c>
      <c r="R307" s="10" t="str">
        <f>IFERROR(_xlfn.XLOOKUP(F307, BS_ATIVIDADE[ATIVIDADE],BS_ATIVIDADE[UNIDADE] ), "*")</f>
        <v>Nº DE DORMENTES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1321</v>
      </c>
      <c r="W307" s="168" t="s">
        <v>1668</v>
      </c>
      <c r="X307" s="213" t="s">
        <v>374</v>
      </c>
      <c r="Y307" s="153"/>
      <c r="Z307" s="153"/>
      <c r="AA307" s="83" t="s">
        <v>1669</v>
      </c>
      <c r="AB307" s="70" t="s">
        <v>366</v>
      </c>
      <c r="AC307" s="70" t="s">
        <v>361</v>
      </c>
      <c r="AD307" s="168">
        <v>0.3125</v>
      </c>
      <c r="AE307" s="83">
        <v>7671</v>
      </c>
      <c r="AF307" s="83">
        <v>9322</v>
      </c>
      <c r="AG307" s="83">
        <v>11</v>
      </c>
      <c r="AH307" s="48"/>
      <c r="AI307" s="141" t="str">
        <f>IF(BS_CONTROLE[[#This Row],[Atividade]]=0, "-", BS_CONTROLE[[#This Row],[Atividade]])</f>
        <v>MODERNIZAÇÃO - DORMENTE - DESCARGA</v>
      </c>
      <c r="AJ307" s="9" t="str">
        <f>IF(D307="","*",VLOOKUP(AI307,BS_ATIVIDADE[#Data],3,FALSE))</f>
        <v>MODERNIZAÇÃO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TCS2</v>
      </c>
      <c r="AM307" s="279" t="str">
        <f>IF(BS_CONTROLE[[#This Row],[Entre - Estações]]=0, "-", BS_CONTROLE[[#This Row],[Entre - Estações]])</f>
        <v>TID-TVI</v>
      </c>
      <c r="AN307" s="279" t="str">
        <f>IF(BS_CONTROLE[[#This Row],[SB]]=0, "-", BS_CONTROLE[[#This Row],[SB]])</f>
        <v>TID201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197</v>
      </c>
      <c r="AQ307" s="281">
        <f>IF(BS_CONTROLE[[#This Row],[KM - Fim]]=0, "-", BS_CONTROLE[[#This Row],[KM - Fim]])</f>
        <v>194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Nº DE DORMENTES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Augusto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 hidden="1">
      <c r="A308" s="50" t="str">
        <f t="shared" si="49"/>
        <v>A8846042</v>
      </c>
      <c r="B308" s="166">
        <v>46042</v>
      </c>
      <c r="C308" s="8">
        <f>IF(BS_CONTROLE[[#This Row],[DATA]]="","",WEEKNUM(BS_CONTROLE[[#This Row],[DATA]]))</f>
        <v>4</v>
      </c>
      <c r="D308" s="51" t="s">
        <v>144</v>
      </c>
      <c r="E308" s="314">
        <v>410</v>
      </c>
      <c r="F308" s="167" t="s">
        <v>85</v>
      </c>
      <c r="G308" s="9" t="str">
        <f>IF(D308="","*",VLOOKUP(F308,BS_ATIVIDADE[#All],3,FALSE))</f>
        <v>OUTROS</v>
      </c>
      <c r="H308" s="168" t="s">
        <v>1009</v>
      </c>
      <c r="I308" s="168" t="s">
        <v>996</v>
      </c>
      <c r="J308" s="212">
        <v>78</v>
      </c>
      <c r="K308" s="212">
        <v>235.4</v>
      </c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8" s="168">
        <v>0.375</v>
      </c>
      <c r="P308" s="168">
        <v>4.1666666666666664E-2</v>
      </c>
      <c r="Q308" s="83">
        <v>1</v>
      </c>
      <c r="R308" s="10" t="str">
        <f>IFERROR(_xlfn.XLOOKUP(F308, BS_ATIVIDADE[ATIVIDADE],BS_ATIVIDADE[UNIDADE] ), "*")</f>
        <v>BINÁRIO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BASE_MAPA!$E$2:$E$359, BASE_MAPA!$J$2:$J$359), "ERRO")</f>
        <v>ITIRAPINA - BAURU</v>
      </c>
      <c r="V308" s="193" t="s">
        <v>1611</v>
      </c>
      <c r="W308" s="168" t="s">
        <v>1670</v>
      </c>
      <c r="X308" s="213" t="s">
        <v>374</v>
      </c>
      <c r="Y308" s="153"/>
      <c r="Z308" s="153"/>
      <c r="AA308" s="83">
        <v>1</v>
      </c>
      <c r="AB308" s="70" t="s">
        <v>366</v>
      </c>
      <c r="AC308" s="70" t="s">
        <v>361</v>
      </c>
      <c r="AD308" s="168">
        <v>0.33333333333333331</v>
      </c>
      <c r="AE308" s="83">
        <v>6261</v>
      </c>
      <c r="AF308" s="83" t="s">
        <v>11</v>
      </c>
      <c r="AG308" s="83" t="s">
        <v>11</v>
      </c>
      <c r="AH308" s="48"/>
      <c r="AI308" s="141" t="str">
        <f>IF(BS_CONTROLE[[#This Row],[Atividade]]=0, "-", BS_CONTROLE[[#This Row],[Atividade]])</f>
        <v>INSPEÇÃO AUTO DE LINHA</v>
      </c>
      <c r="AJ308" s="9" t="str">
        <f>IF(D308="","*",VLOOKUP(AI308,BS_ATIVIDADE[#Data],3,FALSE))</f>
        <v>OUTROS</v>
      </c>
      <c r="AK308" s="279" t="str">
        <f>IF(BS_CONTROLE[[#This Row],[Local - Partida]]=0, "-", BS_CONTROLE[[#This Row],[Local - Partida]])</f>
        <v>ZDK2</v>
      </c>
      <c r="AL308" s="279" t="str">
        <f>IF(BS_CONTROLE[[#This Row],[Local - Encerramento]]=0, "-", BS_CONTROLE[[#This Row],[Local - Encerramento]])</f>
        <v>ZTR2</v>
      </c>
      <c r="AM308" s="279" t="str">
        <f>IF(BS_CONTROLE[[#This Row],[Entre - Estações]]=0, "-", BS_CONTROLE[[#This Row],[Entre - Estações]])</f>
        <v>ZTE-ZVT</v>
      </c>
      <c r="AN308" s="279" t="str">
        <f>IF(BS_CONTROLE[[#This Row],[SB]]=0, "-", BS_CONTROLE[[#This Row],[SB]])</f>
        <v>ZTEZVT</v>
      </c>
      <c r="AO308" s="280">
        <f>IF(BS_CONTROLE[[#This Row],[SUB]]=0, "-", BS_CONTROLE[[#This Row],[SUB]])</f>
        <v>78</v>
      </c>
      <c r="AP308" s="281">
        <f>IF(BS_CONTROLE[[#This Row],[KM - Inicio]]=0, "-", BS_CONTROLE[[#This Row],[KM - Inicio]])</f>
        <v>235.4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BINÁRIO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BASE_MAPA!$E$2:$E$359, BASE_MAPA!$J$2:$J$359), "ERRO")</f>
        <v>ITIRAPINA - BAURU</v>
      </c>
      <c r="BF308" s="282" t="str">
        <f>IF(BS_CONTROLE[[#This Row],[Responsavel pelo boletim]]=0, "-", BS_CONTROLE[[#This Row],[Responsavel pelo boletim]])</f>
        <v>Josimar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 hidden="1">
      <c r="A309" s="50" t="str">
        <f t="shared" si="49"/>
        <v>FRANCISCO (TF-670)46042</v>
      </c>
      <c r="B309" s="166">
        <v>46042</v>
      </c>
      <c r="C309" s="8">
        <f>IF(BS_CONTROLE[[#This Row],[DATA]]="","",WEEKNUM(BS_CONTROLE[[#This Row],[DATA]]))</f>
        <v>4</v>
      </c>
      <c r="D309" s="51" t="s">
        <v>303</v>
      </c>
      <c r="E309" s="314">
        <v>411</v>
      </c>
      <c r="F309" s="167" t="s">
        <v>168</v>
      </c>
      <c r="G309" s="9" t="str">
        <f>IF(D309="","*",VLOOKUP(F309,BS_ATIVIDADE[#All],3,FALSE))</f>
        <v>AMV</v>
      </c>
      <c r="H309" s="199" t="str" cm="1">
        <f t="array" ref="H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09" s="168" t="s">
        <v>11</v>
      </c>
      <c r="J309" s="212">
        <v>78</v>
      </c>
      <c r="K309" s="212">
        <v>208.3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09" s="168">
        <v>0.41666666666666669</v>
      </c>
      <c r="P309" s="168">
        <v>8.3333333333333329E-2</v>
      </c>
      <c r="Q309" s="83">
        <v>1</v>
      </c>
      <c r="R309" s="10" t="str">
        <f>IFERROR(_xlfn.XLOOKUP(F309, BS_ATIVIDADE[ATIVIDADE],BS_ATIVIDADE[UNIDADE] ), "*")</f>
        <v>Nº DE PEÇAS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1671</v>
      </c>
      <c r="W309" s="168" t="s">
        <v>1672</v>
      </c>
      <c r="X309" s="213" t="s">
        <v>374</v>
      </c>
      <c r="Y309" s="153"/>
      <c r="Z309" s="153"/>
      <c r="AA309" s="83" t="s">
        <v>11</v>
      </c>
      <c r="AB309" s="70" t="s">
        <v>11</v>
      </c>
      <c r="AC309" s="70" t="s">
        <v>11</v>
      </c>
      <c r="AD309" s="168" t="s">
        <v>11</v>
      </c>
      <c r="AE309" s="83" t="s">
        <v>11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PDM - AMV - JACARÉ</v>
      </c>
      <c r="AJ309" s="9" t="str">
        <f>IF(D309="","*",VLOOKUP(AI309,BS_ATIVIDADE[#Data],3,FALSE))</f>
        <v>AMV</v>
      </c>
      <c r="AK309" s="279" t="str">
        <f>IF(BS_CONTROLE[[#This Row],[Local - Partida]]=0, "-", BS_CONTROLE[[#This Row],[Local - Partida]])</f>
        <v>ZBOZEP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ZBO-ZEP</v>
      </c>
      <c r="AN309" s="279" t="str">
        <f>IF(BS_CONTROLE[[#This Row],[SB]]=0, "-", BS_CONTROLE[[#This Row],[SB]])</f>
        <v>ZBOZEP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208.3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Nº DE PEÇAS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Francisco / 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 hidden="1">
      <c r="A310" s="50" t="str">
        <f t="shared" si="49"/>
        <v>A1046042</v>
      </c>
      <c r="B310" s="166">
        <v>46042</v>
      </c>
      <c r="C310" s="8">
        <f>IF(BS_CONTROLE[[#This Row],[DATA]]="","",WEEKNUM(BS_CONTROLE[[#This Row],[DATA]]))</f>
        <v>4</v>
      </c>
      <c r="D310" s="51" t="s">
        <v>78</v>
      </c>
      <c r="E310" s="314">
        <v>236</v>
      </c>
      <c r="F310" s="167" t="s">
        <v>194</v>
      </c>
      <c r="G310" s="9" t="str">
        <f>IF(D310="","*",VLOOKUP(F310,BS_ATIVIDADE[#All],3,FALSE))</f>
        <v>SOLDA</v>
      </c>
      <c r="H310" s="168" t="s">
        <v>645</v>
      </c>
      <c r="I310" s="168" t="s">
        <v>645</v>
      </c>
      <c r="J310" s="212">
        <v>101</v>
      </c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Nº DE SOLDA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PORTO NACIONAL - OURO VERDE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PDM - SOLDA</v>
      </c>
      <c r="AJ310" s="9" t="str">
        <f>IF(D310="","*",VLOOKUP(AI310,BS_ATIVIDADE[#Data],3,FALSE))</f>
        <v>SOLDA</v>
      </c>
      <c r="AK310" s="279" t="str">
        <f>IF(BS_CONTROLE[[#This Row],[Local - Partida]]=0, "-", BS_CONTROLE[[#This Row],[Local - Partida]])</f>
        <v>PNNPCB</v>
      </c>
      <c r="AL310" s="279" t="str">
        <f>IF(BS_CONTROLE[[#This Row],[Local - Encerramento]]=0, "-", BS_CONTROLE[[#This Row],[Local - Encerramento]])</f>
        <v>PNNPCB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>
        <f>IF(BS_CONTROLE[[#This Row],[SUB]]=0, "-", BS_CONTROLE[[#This Row],[SUB]])</f>
        <v>101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SOLDA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PORTO NACIONAL - OURO VERDE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e">
        <f t="shared" si="50"/>
        <v>#DIV/0!</v>
      </c>
      <c r="BR310" s="18" t="e">
        <f t="shared" si="51"/>
        <v>#DIV/0!</v>
      </c>
      <c r="BS310" s="18" t="e">
        <f t="shared" si="52"/>
        <v>#DIV/0!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17" operator="equal">
      <formula>"ERRO"</formula>
    </cfRule>
  </conditionalFormatting>
  <conditionalFormatting sqref="X4 Y368:Y443 Y1:Z367">
    <cfRule type="cellIs" dxfId="138" priority="18406" operator="equal">
      <formula>"OPORTUNIDADE"</formula>
    </cfRule>
  </conditionalFormatting>
  <conditionalFormatting sqref="AZ6:AZ415">
    <cfRule type="expression" dxfId="137" priority="18401">
      <formula>$BU6=1</formula>
    </cfRule>
  </conditionalFormatting>
  <conditionalFormatting sqref="BQ6:BQ492">
    <cfRule type="cellIs" dxfId="136" priority="18412" operator="equal">
      <formula>"Produção e Intervalo"</formula>
    </cfRule>
    <cfRule type="cellIs" dxfId="135" priority="18413" operator="equal">
      <formula>"Aderente"</formula>
    </cfRule>
    <cfRule type="cellIs" dxfId="134" priority="18414" operator="equal">
      <formula>"Intervalo"</formula>
    </cfRule>
    <cfRule type="cellIs" dxfId="133" priority="18415" operator="equal">
      <formula>"Produção"</formula>
    </cfRule>
    <cfRule type="cellIs" dxfId="132" priority="18416" operator="equal">
      <formula>"ERRO"</formula>
    </cfRule>
  </conditionalFormatting>
  <conditionalFormatting sqref="BR6:BS445">
    <cfRule type="cellIs" dxfId="131" priority="18394" operator="equal">
      <formula>"*"</formula>
    </cfRule>
    <cfRule type="cellIs" dxfId="130" priority="18395" operator="greaterThanOrEqual">
      <formula>1</formula>
    </cfRule>
    <cfRule type="cellIs" dxfId="129" priority="18396" operator="lessThan">
      <formula>1</formula>
    </cfRule>
  </conditionalFormatting>
  <conditionalFormatting sqref="X368:X415 Y368:Y443 Y6:Z367">
    <cfRule type="cellIs" dxfId="128" priority="18342" operator="equal">
      <formula>"NÃO"</formula>
    </cfRule>
    <cfRule type="cellIs" dxfId="127" priority="18343" operator="equal">
      <formula>"SIM"</formula>
    </cfRule>
  </conditionalFormatting>
  <conditionalFormatting sqref="X368:X415">
    <cfRule type="cellIs" dxfId="126" priority="18341" operator="equal">
      <formula>"OPORTUNIDADE"</formula>
    </cfRule>
  </conditionalFormatting>
  <conditionalFormatting sqref="Z368:Z415">
    <cfRule type="cellIs" dxfId="125" priority="18339" operator="equal">
      <formula>"NÃO"</formula>
    </cfRule>
    <cfRule type="cellIs" dxfId="124" priority="18340" operator="equal">
      <formula>"SIM"</formula>
    </cfRule>
  </conditionalFormatting>
  <conditionalFormatting sqref="Z368:Z415">
    <cfRule type="cellIs" dxfId="123" priority="18338" operator="equal">
      <formula>"OPORTUNIDADE"</formula>
    </cfRule>
  </conditionalFormatting>
  <conditionalFormatting sqref="Y1048468:Y1048576">
    <cfRule type="cellIs" dxfId="122" priority="18223" operator="equal">
      <formula>"OPORTUNIDADE"</formula>
    </cfRule>
  </conditionalFormatting>
  <conditionalFormatting sqref="Y1048468:Y1048576">
    <cfRule type="cellIs" dxfId="121" priority="18221" operator="equal">
      <formula>"NÃO"</formula>
    </cfRule>
    <cfRule type="cellIs" dxfId="120" priority="18222" operator="equal">
      <formula>"SIM"</formula>
    </cfRule>
  </conditionalFormatting>
  <conditionalFormatting sqref="Z416:Z441">
    <cfRule type="cellIs" dxfId="119" priority="17958" operator="equal">
      <formula>"OPORTUNIDADE"</formula>
    </cfRule>
  </conditionalFormatting>
  <conditionalFormatting sqref="Z416:Z441">
    <cfRule type="cellIs" dxfId="118" priority="17956" operator="equal">
      <formula>"NÃO"</formula>
    </cfRule>
    <cfRule type="cellIs" dxfId="117" priority="17957" operator="equal">
      <formula>"SIM"</formula>
    </cfRule>
  </conditionalFormatting>
  <conditionalFormatting sqref="X442">
    <cfRule type="cellIs" dxfId="116" priority="17944" operator="equal">
      <formula>"NÃO"</formula>
    </cfRule>
    <cfRule type="cellIs" dxfId="115" priority="17945" operator="equal">
      <formula>"SIM"</formula>
    </cfRule>
  </conditionalFormatting>
  <conditionalFormatting sqref="X442">
    <cfRule type="cellIs" dxfId="114" priority="17943" operator="equal">
      <formula>"OPORTUNIDADE"</formula>
    </cfRule>
  </conditionalFormatting>
  <conditionalFormatting sqref="Z442">
    <cfRule type="cellIs" dxfId="113" priority="17941" operator="equal">
      <formula>"NÃO"</formula>
    </cfRule>
    <cfRule type="cellIs" dxfId="112" priority="17942" operator="equal">
      <formula>"SIM"</formula>
    </cfRule>
  </conditionalFormatting>
  <conditionalFormatting sqref="Z442">
    <cfRule type="cellIs" dxfId="111" priority="17940" operator="equal">
      <formula>"OPORTUNIDADE"</formula>
    </cfRule>
  </conditionalFormatting>
  <conditionalFormatting sqref="BI442">
    <cfRule type="iconSet" priority="17949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50">
      <iconSet showValue="0">
        <cfvo type="percent" val="0"/>
        <cfvo type="num" val="1"/>
        <cfvo type="num" val="1" gte="0"/>
      </iconSet>
    </cfRule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60">
      <formula>$BU385=1</formula>
    </cfRule>
  </conditionalFormatting>
  <conditionalFormatting sqref="AZ418:AZ442">
    <cfRule type="expression" dxfId="109" priority="18720">
      <formula>$BU390=1</formula>
    </cfRule>
  </conditionalFormatting>
  <conditionalFormatting sqref="BI416:BI441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23">
      <iconSet showValue="0">
        <cfvo type="percent" val="0"/>
        <cfvo type="num" val="1"/>
        <cfvo type="num" val="1" gte="0"/>
      </iconSet>
    </cfRule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27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30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55" operator="equal">
      <formula>"*"</formula>
    </cfRule>
    <cfRule type="cellIs" dxfId="107" priority="13356" operator="greaterThanOrEqual">
      <formula>1</formula>
    </cfRule>
    <cfRule type="cellIs" dxfId="106" priority="13357" operator="lessThan">
      <formula>1</formula>
    </cfRule>
  </conditionalFormatting>
  <conditionalFormatting sqref="BK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2">
    <cfRule type="iconSet" priority="20602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2">
    <cfRule type="iconSet" priority="2061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50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54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1673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1674</v>
      </c>
      <c r="E3" s="316" t="s">
        <v>1675</v>
      </c>
      <c r="F3" s="316" t="s">
        <v>1676</v>
      </c>
      <c r="G3" s="316" t="s">
        <v>1677</v>
      </c>
      <c r="H3" s="316" t="s">
        <v>1678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1679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379" sqref="A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1681</v>
      </c>
      <c r="W1" s="390"/>
      <c r="X1" s="390"/>
      <c r="Y1" s="103"/>
    </row>
    <row r="2" spans="1:25" s="100" customFormat="1" ht="11.25" customHeight="1">
      <c r="A2" s="104" t="s">
        <v>1682</v>
      </c>
      <c r="B2" s="104" t="s">
        <v>1683</v>
      </c>
      <c r="C2" s="104" t="s">
        <v>7</v>
      </c>
      <c r="D2" s="105" t="s">
        <v>1177</v>
      </c>
      <c r="E2" s="105" t="s">
        <v>1178</v>
      </c>
      <c r="F2" s="105" t="s">
        <v>1684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1685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TIQ</v>
      </c>
      <c r="J401" s="109" t="str">
        <f>IF(FN_MC!I303="","*",FN_MC!I303)</f>
        <v>TGR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0.45833333333333331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 t="str">
        <f ca="1">_xlfn.XLOOKUP(G401&amp;$V$2,BS_CONTROLE[CHAVE],BS_CONTROLE[Quantidade_11],"-")</f>
        <v>-</v>
      </c>
      <c r="W401" s="111">
        <f ca="1">_xlfn.XLOOKUP(G401&amp;$W$2,BS_CONTROLE[CHAVE],BS_CONTROLE[Quantidade_11],"-")</f>
        <v>28</v>
      </c>
      <c r="X401" s="111">
        <f ca="1">_xlfn.XLOOKUP(G401&amp;$X$2,BS_CONTROLE[CHAVE],BS_CONTROLE[Quantidade_11],"-")</f>
        <v>28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>
        <f>IF(FN_MC!B304="","*",FN_MC!B304)</f>
        <v>46042</v>
      </c>
      <c r="G402" s="109" t="str">
        <f>IF(FN_MC!D304="","*",FN_MC!D304)</f>
        <v>ELSON (TF-526)</v>
      </c>
      <c r="H402" s="109" t="str">
        <f>IF(FN_MC!F304="","*",FN_MC!F304)</f>
        <v>PDM - SOLDA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>
        <f ca="1">_xlfn.XLOOKUP(G402&amp;$W$2,BS_CONTROLE[CHAVE],BS_CONTROLE[Quantidade_11],"-")</f>
        <v>0</v>
      </c>
      <c r="X402" s="111">
        <f ca="1">_xlfn.XLOOKUP(G402&amp;$X$2,BS_CONTROLE[CHAVE],BS_CONTROLE[Quantidade_11],"-")</f>
        <v>2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TMI-TCS</v>
      </c>
      <c r="F403" s="109">
        <f>IF(FN_MC!B305="","*",FN_MC!B305)</f>
        <v>46042</v>
      </c>
      <c r="G403" s="109" t="str">
        <f>IF(FN_MC!D305="","*",FN_MC!D305)</f>
        <v>MARCOS (TF-520)</v>
      </c>
      <c r="H403" s="109" t="str">
        <f>IF(FN_MC!F305="","*",FN_MC!F305)</f>
        <v>PDM - SOLDA</v>
      </c>
      <c r="I403" s="109" t="str">
        <f>IF(FN_MC!H305="","*",FN_MC!H305)</f>
        <v>TCS2</v>
      </c>
      <c r="J403" s="109" t="str">
        <f>IF(FN_MC!I305="","*",FN_MC!I305)</f>
        <v>-</v>
      </c>
      <c r="K403" s="109" t="str">
        <f>IF(FN_MC!M305="","*",FN_MC!M305)</f>
        <v>TCS</v>
      </c>
      <c r="L403" s="328" t="str">
        <f>IF(FN_MC!N305="","*",FN_MC!N305)</f>
        <v>TCS2</v>
      </c>
      <c r="M403" s="110">
        <f>IF(FN_MC!J305="","*",FN_MC!J305)</f>
        <v>74</v>
      </c>
      <c r="N403" s="291">
        <f>IF(FN_MC!K305="","*",FN_MC!K305)</f>
        <v>289.7</v>
      </c>
      <c r="O403" s="291" t="str">
        <f>IF(FN_MC!L305="","*",FN_MC!L305)</f>
        <v>-</v>
      </c>
      <c r="P403" s="110"/>
      <c r="Q403" s="127">
        <f>IF(FN_MC!O305="","*",FN_MC!O305)</f>
        <v>0.375</v>
      </c>
      <c r="R403" s="127">
        <f>IF(FN_MC!P305="","*",FN_MC!P305)</f>
        <v>8.3333333333333329E-2</v>
      </c>
      <c r="S403" s="109" t="str">
        <f>IF(FN_MC!Q305="","*",CONCATENATE(FN_MC!Q305," ",FN_MC!R305))</f>
        <v>2 Nº DE SOLDA</v>
      </c>
      <c r="T403" s="109" t="str">
        <f>IF(FN_MC!V305="","*",FN_MC!V305)</f>
        <v>Marcos Euzébio</v>
      </c>
      <c r="U403" s="109" t="str">
        <f>IF(FN_MC!W305="","*",FN_MC!W305)</f>
        <v>Execução de solda - Condicionado à temperatura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</v>
      </c>
      <c r="X403" s="111">
        <f ca="1">_xlfn.XLOOKUP(G403&amp;$X$2,BS_CONTROLE[CHAVE],BS_CONTROLE[Quantidade_11],"-")</f>
        <v>2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A60</v>
      </c>
      <c r="H404" s="109" t="str">
        <f>IF(FN_MC!F306="","*",FN_MC!F306)</f>
        <v>DETECÇÃO - RONDA 7 DIAS</v>
      </c>
      <c r="I404" s="109" t="str">
        <f>IF(FN_MC!H306="","*",FN_MC!H306)</f>
        <v>TCS2</v>
      </c>
      <c r="J404" s="109" t="str">
        <f>IF(FN_MC!I306="","*",FN_MC!I306)</f>
        <v>TGR2</v>
      </c>
      <c r="K404" s="109" t="str">
        <f>IF(FN_MC!M306="","*",FN_MC!M306)</f>
        <v>TCS-TGR</v>
      </c>
      <c r="L404" s="328" t="str">
        <f>IF(FN_MC!N306="","*",FN_MC!N306)</f>
        <v>TCSTGR</v>
      </c>
      <c r="M404" s="110">
        <f>IF(FN_MC!J306="","*",FN_MC!J306)</f>
        <v>74</v>
      </c>
      <c r="N404" s="291">
        <f>IF(FN_MC!K306="","*",FN_MC!K306)</f>
        <v>290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4.1666666666666664E-2</v>
      </c>
      <c r="S404" s="109" t="str">
        <f>IF(FN_MC!Q306="","*",CONCATENATE(FN_MC!Q306," ",FN_MC!R306))</f>
        <v>210 KM</v>
      </c>
      <c r="T404" s="109" t="str">
        <f>IF(FN_MC!V306="","*",FN_MC!V306)</f>
        <v>Herbert</v>
      </c>
      <c r="U404" s="109" t="str">
        <f>IF(FN_MC!W306="","*",FN_MC!W306)</f>
        <v>Inspeção R7D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W50</v>
      </c>
      <c r="H405" s="109" t="str">
        <f>IF(FN_MC!F307="","*",FN_MC!F307)</f>
        <v>MODERNIZAÇÃO - DORMENTE - DESCARGA</v>
      </c>
      <c r="I405" s="109" t="str">
        <f>IF(FN_MC!H307="","*",FN_MC!H307)</f>
        <v>TCS2</v>
      </c>
      <c r="J405" s="109" t="str">
        <f>IF(FN_MC!I307="","*",FN_MC!I307)</f>
        <v>TCS2</v>
      </c>
      <c r="K405" s="109" t="str">
        <f>IF(FN_MC!M307="","*",FN_MC!M307)</f>
        <v>TID-TVI</v>
      </c>
      <c r="L405" s="328" t="str">
        <f>IF(FN_MC!N307="","*",FN_MC!N307)</f>
        <v>TID201</v>
      </c>
      <c r="M405" s="110">
        <f>IF(FN_MC!J307="","*",FN_MC!J307)</f>
        <v>74</v>
      </c>
      <c r="N405" s="291">
        <f>IF(FN_MC!K307="","*",FN_MC!K307)</f>
        <v>197</v>
      </c>
      <c r="O405" s="291">
        <f>IF(FN_MC!L307="","*",FN_MC!L307)</f>
        <v>194</v>
      </c>
      <c r="P405" s="110"/>
      <c r="Q405" s="127">
        <f>IF(FN_MC!O307="","*",FN_MC!O307)</f>
        <v>0.35416666666666669</v>
      </c>
      <c r="R405" s="127">
        <f>IF(FN_MC!P307="","*",FN_MC!P307)</f>
        <v>0.125</v>
      </c>
      <c r="S405" s="109" t="str">
        <f>IF(FN_MC!Q307="","*",CONCATENATE(FN_MC!Q307," ",FN_MC!R307))</f>
        <v>1000 Nº DE DORMENTES</v>
      </c>
      <c r="T405" s="109" t="str">
        <f>IF(FN_MC!V307="","*",FN_MC!V307)</f>
        <v>Augusto</v>
      </c>
      <c r="U405" s="109" t="str">
        <f>IF(FN_MC!W307="","*",FN_MC!W307)</f>
        <v>Descarga de dormentes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>
        <f ca="1">_xlfn.XLOOKUP(G405&amp;$X$2,BS_CONTROLE[CHAVE],BS_CONTROLE[Quantidade_11],"-")</f>
        <v>1615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MALHA CENTRAL</v>
      </c>
      <c r="E406" s="109" t="str">
        <f>IF(FN_MC!T308="","*",FN_MC!T308)</f>
        <v>RAMAL</v>
      </c>
      <c r="F406" s="109">
        <f>IF(FN_MC!B308="","*",FN_MC!B308)</f>
        <v>46042</v>
      </c>
      <c r="G406" s="109" t="str">
        <f>IF(FN_MC!D308="","*",FN_MC!D308)</f>
        <v>A88</v>
      </c>
      <c r="H406" s="109" t="str">
        <f>IF(FN_MC!F308="","*",FN_MC!F308)</f>
        <v>INSPEÇÃO AUTO DE LINHA</v>
      </c>
      <c r="I406" s="109" t="str">
        <f>IF(FN_MC!H308="","*",FN_MC!H308)</f>
        <v>ZDK2</v>
      </c>
      <c r="J406" s="109" t="str">
        <f>IF(FN_MC!I308="","*",FN_MC!I308)</f>
        <v>ZTR2</v>
      </c>
      <c r="K406" s="109" t="str">
        <f>IF(FN_MC!M308="","*",FN_MC!M308)</f>
        <v>ZTE-ZVT</v>
      </c>
      <c r="L406" s="328" t="str">
        <f>IF(FN_MC!N308="","*",FN_MC!N308)</f>
        <v>ZTEZVT</v>
      </c>
      <c r="M406" s="110">
        <f>IF(FN_MC!J308="","*",FN_MC!J308)</f>
        <v>78</v>
      </c>
      <c r="N406" s="291">
        <f>IF(FN_MC!K308="","*",FN_MC!K308)</f>
        <v>235.4</v>
      </c>
      <c r="O406" s="291" t="str">
        <f>IF(FN_MC!L308="","*",FN_MC!L308)</f>
        <v>-</v>
      </c>
      <c r="P406" s="110"/>
      <c r="Q406" s="127">
        <f>IF(FN_MC!O308="","*",FN_MC!O308)</f>
        <v>0.375</v>
      </c>
      <c r="R406" s="127">
        <f>IF(FN_MC!P308="","*",FN_MC!P308)</f>
        <v>4.1666666666666664E-2</v>
      </c>
      <c r="S406" s="109" t="str">
        <f>IF(FN_MC!Q308="","*",CONCATENATE(FN_MC!Q308," ",FN_MC!R308))</f>
        <v>1 BINÁRIO</v>
      </c>
      <c r="T406" s="109" t="str">
        <f>IF(FN_MC!V308="","*",FN_MC!V308)</f>
        <v>Josimar</v>
      </c>
      <c r="U406" s="109" t="str">
        <f>IF(FN_MC!W308="","*",FN_MC!W308)</f>
        <v>Posicionamento de trilho curto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FRANCISCO (TF-670)</v>
      </c>
      <c r="H407" s="109" t="str">
        <f>IF(FN_MC!F309="","*",FN_MC!F309)</f>
        <v>PDM - AMV - JACARÉ</v>
      </c>
      <c r="I407" s="109" t="str">
        <f>IF(FN_MC!H309="","*",FN_MC!H309)</f>
        <v>ZBOZEP</v>
      </c>
      <c r="J407" s="109" t="str">
        <f>IF(FN_MC!I309="","*",FN_MC!I309)</f>
        <v>-</v>
      </c>
      <c r="K407" s="109" t="str">
        <f>IF(FN_MC!M309="","*",FN_MC!M309)</f>
        <v>ZBO-ZEP</v>
      </c>
      <c r="L407" s="328" t="str">
        <f>IF(FN_MC!N309="","*",FN_MC!N309)</f>
        <v>ZBOZEP</v>
      </c>
      <c r="M407" s="110">
        <f>IF(FN_MC!J309="","*",FN_MC!J309)</f>
        <v>78</v>
      </c>
      <c r="N407" s="291">
        <f>IF(FN_MC!K309="","*",FN_MC!K309)</f>
        <v>208.3</v>
      </c>
      <c r="O407" s="291" t="str">
        <f>IF(FN_MC!L309="","*",FN_MC!L309)</f>
        <v>-</v>
      </c>
      <c r="P407" s="110"/>
      <c r="Q407" s="127">
        <f>IF(FN_MC!O309="","*",FN_MC!O309)</f>
        <v>0.41666666666666669</v>
      </c>
      <c r="R407" s="127">
        <f>IF(FN_MC!P309="","*",FN_MC!P309)</f>
        <v>8.3333333333333329E-2</v>
      </c>
      <c r="S407" s="109" t="str">
        <f>IF(FN_MC!Q309="","*",CONCATENATE(FN_MC!Q309," ",FN_MC!R309))</f>
        <v>1 Nº DE PEÇAS</v>
      </c>
      <c r="T407" s="109" t="str">
        <f>IF(FN_MC!V309="","*",FN_MC!V309)</f>
        <v>Francisco / Josimar</v>
      </c>
      <c r="U407" s="109" t="str">
        <f>IF(FN_MC!W309="","*",FN_MC!W309)</f>
        <v>Troca de jacaré AMV Norte de ZBO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>
        <f ca="1">_xlfn.XLOOKUP(G407&amp;$X$2,BS_CONTROLE[CHAVE],BS_CONTROLE[Quantidade_11],"-")</f>
        <v>0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>
        <f>IF(FN_MC!B310="","*",FN_MC!B310)</f>
        <v>46042</v>
      </c>
      <c r="G408" s="109" t="str">
        <f>IF(FN_MC!D310="","*",FN_MC!D310)</f>
        <v>A10</v>
      </c>
      <c r="H408" s="109" t="str">
        <f>IF(FN_MC!F310="","*",FN_MC!F310)</f>
        <v>PDM - SOLDA</v>
      </c>
      <c r="I408" s="109" t="str">
        <f>IF(FN_MC!H310="","*",FN_MC!H310)</f>
        <v>PNNPCB</v>
      </c>
      <c r="J408" s="109" t="str">
        <f>IF(FN_MC!I310="","*",FN_MC!I310)</f>
        <v>PNNPCB</v>
      </c>
      <c r="K408" s="109" t="str">
        <f>IF(FN_MC!M310="","*",FN_MC!M310)</f>
        <v>-</v>
      </c>
      <c r="L408" s="328" t="str">
        <f>IF(FN_MC!N310="","*",FN_MC!N310)</f>
        <v>-</v>
      </c>
      <c r="M408" s="110">
        <f>IF(FN_MC!J310="","*",FN_MC!J310)</f>
        <v>101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1686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1687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1688</v>
      </c>
      <c r="C4" s="321" t="s">
        <v>1689</v>
      </c>
      <c r="D4" s="321" t="s">
        <v>1690</v>
      </c>
      <c r="E4" s="321" t="s">
        <v>1691</v>
      </c>
      <c r="F4" s="321" t="s">
        <v>545</v>
      </c>
      <c r="G4" s="321" t="s">
        <v>1692</v>
      </c>
      <c r="H4" s="187"/>
    </row>
    <row r="5" spans="1:8" ht="43.5">
      <c r="A5" s="187"/>
      <c r="B5" s="322" t="s">
        <v>1693</v>
      </c>
      <c r="C5" s="322">
        <v>309525</v>
      </c>
      <c r="D5" s="322" t="s">
        <v>1694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1695</v>
      </c>
      <c r="C6" s="322">
        <v>256875</v>
      </c>
      <c r="D6" s="322" t="s">
        <v>1696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1697</v>
      </c>
      <c r="C7" s="322">
        <v>257278</v>
      </c>
      <c r="D7" s="322" t="s">
        <v>1698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1699</v>
      </c>
      <c r="C8" s="322">
        <v>261794</v>
      </c>
      <c r="D8" s="322" t="s">
        <v>1700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1701</v>
      </c>
      <c r="C9" s="322">
        <v>257033</v>
      </c>
      <c r="D9" s="322" t="s">
        <v>1702</v>
      </c>
      <c r="E9" s="322" t="s">
        <v>240</v>
      </c>
      <c r="F9" s="322" t="s">
        <v>732</v>
      </c>
      <c r="G9" s="322" t="s">
        <v>1703</v>
      </c>
      <c r="H9" s="187"/>
    </row>
    <row r="10" spans="1:8" ht="43.5">
      <c r="A10" s="187"/>
      <c r="B10" s="322" t="s">
        <v>1704</v>
      </c>
      <c r="C10" s="322">
        <v>396578</v>
      </c>
      <c r="D10" s="322" t="s">
        <v>1705</v>
      </c>
      <c r="E10" s="322" t="s">
        <v>240</v>
      </c>
      <c r="F10" s="322" t="s">
        <v>732</v>
      </c>
      <c r="G10" s="322" t="s">
        <v>1703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1706</v>
      </c>
      <c r="C2" s="95" t="s">
        <v>1162</v>
      </c>
      <c r="D2" s="95" t="s">
        <v>1164</v>
      </c>
      <c r="E2" s="95" t="s">
        <v>1707</v>
      </c>
      <c r="F2" s="95" t="s">
        <v>1708</v>
      </c>
      <c r="G2" s="95" t="s">
        <v>1709</v>
      </c>
      <c r="H2" s="95" t="s">
        <v>1710</v>
      </c>
      <c r="I2" s="95" t="s">
        <v>1711</v>
      </c>
      <c r="J2" s="95" t="s">
        <v>1712</v>
      </c>
      <c r="K2" s="130" t="s">
        <v>1713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TIQ</v>
      </c>
      <c r="F301" s="136" t="str">
        <f>IF(FN_MC!M303="","*",FN_MC!M303)</f>
        <v>TAL-TSF</v>
      </c>
      <c r="G301" s="120" t="str">
        <f>IF(FN_MC!I303="","*",FN_MC!I303)</f>
        <v>TGR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*</v>
      </c>
      <c r="C302" s="120">
        <f>IF(FN_MC!B304="","*",FN_MC!B304)</f>
        <v>46042</v>
      </c>
      <c r="D302" s="120" t="str">
        <f>IF(FN_MC!D304="","*",FN_MC!D304)</f>
        <v>ELSON (TF-526)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*</v>
      </c>
      <c r="C303" s="120">
        <f>IF(FN_MC!B305="","*",FN_MC!B305)</f>
        <v>46042</v>
      </c>
      <c r="D303" s="120" t="str">
        <f>IF(FN_MC!D305="","*",FN_MC!D305)</f>
        <v>MARCOS (TF-520)</v>
      </c>
      <c r="E303" s="120" t="str">
        <f>IF(FN_MC!H305="","*",FN_MC!H305)</f>
        <v>TCS2</v>
      </c>
      <c r="F303" s="136" t="str">
        <f>IF(FN_MC!M305="","*",FN_MC!M305)</f>
        <v>TCS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*</v>
      </c>
      <c r="C304" s="120">
        <f>IF(FN_MC!B306="","*",FN_MC!B306)</f>
        <v>46042</v>
      </c>
      <c r="D304" s="120" t="str">
        <f>IF(FN_MC!D306="","*",FN_MC!D306)</f>
        <v>A60</v>
      </c>
      <c r="E304" s="120" t="str">
        <f>IF(FN_MC!H306="","*",FN_MC!H306)</f>
        <v>TCS2</v>
      </c>
      <c r="F304" s="136" t="str">
        <f>IF(FN_MC!M306="","*",FN_MC!M306)</f>
        <v>TCS-TGR</v>
      </c>
      <c r="G304" s="120" t="str">
        <f>IF(FN_MC!I306="","*",FN_MC!I306)</f>
        <v>TGR2</v>
      </c>
      <c r="H304" s="120" t="str">
        <f>IF(FN_MC!AB306="","*",FN_MC!AB306)</f>
        <v>FIXO</v>
      </c>
      <c r="I304" s="120" t="str">
        <f>IF(FN_MC!AC306="","*",FN_MC!AC306)</f>
        <v>ACIONAMENTO</v>
      </c>
      <c r="J304" s="121">
        <f>IF(FN_MC!AA306="","*",FN_MC!AA306)</f>
        <v>1</v>
      </c>
      <c r="K304" s="133">
        <f>IF(FN_MC!AD306="","*",FN_MC!AD306)</f>
        <v>0.33333333333333331</v>
      </c>
    </row>
    <row r="305" spans="2:11" s="122" customFormat="1" hidden="1">
      <c r="B305" s="119" t="str">
        <f>IF(FN_MC!Y307="","*",FN_MC!Y307)</f>
        <v>*</v>
      </c>
      <c r="C305" s="120">
        <f>IF(FN_MC!B307="","*",FN_MC!B307)</f>
        <v>46042</v>
      </c>
      <c r="D305" s="120" t="str">
        <f>IF(FN_MC!D307="","*",FN_MC!D307)</f>
        <v>W50</v>
      </c>
      <c r="E305" s="120" t="str">
        <f>IF(FN_MC!H307="","*",FN_MC!H307)</f>
        <v>TCS2</v>
      </c>
      <c r="F305" s="136" t="str">
        <f>IF(FN_MC!M307="","*",FN_MC!M307)</f>
        <v>TID-TVI</v>
      </c>
      <c r="G305" s="120" t="str">
        <f>IF(FN_MC!I307="","*",FN_MC!I307)</f>
        <v>TCS2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 t="str">
        <f>IF(FN_MC!AA307="","*",FN_MC!AA307)</f>
        <v>Maicon + Eder</v>
      </c>
      <c r="K305" s="133">
        <f>IF(FN_MC!AD307="","*",FN_MC!AD307)</f>
        <v>0.3125</v>
      </c>
    </row>
    <row r="306" spans="2:11" s="122" customFormat="1" hidden="1">
      <c r="B306" s="119" t="str">
        <f>IF(FN_MC!Y308="","*",FN_MC!Y308)</f>
        <v>*</v>
      </c>
      <c r="C306" s="120">
        <f>IF(FN_MC!B308="","*",FN_MC!B308)</f>
        <v>46042</v>
      </c>
      <c r="D306" s="120" t="str">
        <f>IF(FN_MC!D308="","*",FN_MC!D308)</f>
        <v>A88</v>
      </c>
      <c r="E306" s="120" t="str">
        <f>IF(FN_MC!H308="","*",FN_MC!H308)</f>
        <v>ZDK2</v>
      </c>
      <c r="F306" s="136" t="str">
        <f>IF(FN_MC!M308="","*",FN_MC!M308)</f>
        <v>ZTE-ZVT</v>
      </c>
      <c r="G306" s="120" t="str">
        <f>IF(FN_MC!I308="","*",FN_MC!I308)</f>
        <v>ZTR2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>
        <f>IF(FN_MC!AA308="","*",FN_MC!AA308)</f>
        <v>1</v>
      </c>
      <c r="K306" s="133">
        <f>IF(FN_MC!AD308="","*",FN_MC!AD308)</f>
        <v>0.33333333333333331</v>
      </c>
    </row>
    <row r="307" spans="2:11" s="122" customFormat="1" hidden="1">
      <c r="B307" s="119" t="str">
        <f>IF(FN_MC!Y309="","*",FN_MC!Y309)</f>
        <v>*</v>
      </c>
      <c r="C307" s="120">
        <f>IF(FN_MC!B309="","*",FN_MC!B309)</f>
        <v>46042</v>
      </c>
      <c r="D307" s="120" t="str">
        <f>IF(FN_MC!D309="","*",FN_MC!D309)</f>
        <v>FRANCISCO (TF-670)</v>
      </c>
      <c r="E307" s="120" t="str">
        <f>IF(FN_MC!H309="","*",FN_MC!H309)</f>
        <v>ZBOZEP</v>
      </c>
      <c r="F307" s="136" t="str">
        <f>IF(FN_MC!M309="","*",FN_MC!M309)</f>
        <v>ZBO-ZEP</v>
      </c>
      <c r="G307" s="120" t="str">
        <f>IF(FN_MC!I309="","*",FN_MC!I309)</f>
        <v>-</v>
      </c>
      <c r="H307" s="120" t="str">
        <f>IF(FN_MC!AB309="","*",FN_MC!AB309)</f>
        <v>-</v>
      </c>
      <c r="I307" s="120" t="str">
        <f>IF(FN_MC!AC309="","*",FN_MC!AC309)</f>
        <v>-</v>
      </c>
      <c r="J307" s="121" t="str">
        <f>IF(FN_MC!AA309="","*",FN_MC!AA309)</f>
        <v>-</v>
      </c>
      <c r="K307" s="133" t="str">
        <f>IF(FN_MC!AD309="","*",FN_MC!AD309)</f>
        <v>-</v>
      </c>
    </row>
    <row r="308" spans="2:11" s="122" customFormat="1" hidden="1">
      <c r="B308" s="119" t="str">
        <f>IF(FN_MC!Y310="","*",FN_MC!Y310)</f>
        <v>*</v>
      </c>
      <c r="C308" s="120">
        <f>IF(FN_MC!B310="","*",FN_MC!B310)</f>
        <v>46042</v>
      </c>
      <c r="D308" s="120" t="str">
        <f>IF(FN_MC!D310="","*",FN_MC!D310)</f>
        <v>A10</v>
      </c>
      <c r="E308" s="120" t="str">
        <f>IF(FN_MC!H310="","*",FN_MC!H310)</f>
        <v>PNNPCB</v>
      </c>
      <c r="F308" s="136" t="str">
        <f>IF(FN_MC!M310="","*",FN_MC!M310)</f>
        <v>-</v>
      </c>
      <c r="G308" s="120" t="str">
        <f>IF(FN_MC!I310="","*",FN_MC!I310)</f>
        <v>PNNPCB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1714</v>
      </c>
      <c r="D5" s="394"/>
      <c r="E5" s="394"/>
      <c r="F5" s="394"/>
      <c r="G5" s="394"/>
      <c r="H5" s="394"/>
      <c r="I5" s="394"/>
      <c r="J5" s="395"/>
      <c r="K5" s="396" t="s">
        <v>1715</v>
      </c>
      <c r="L5" s="397"/>
      <c r="M5" s="397"/>
      <c r="N5" s="397"/>
      <c r="O5" s="398" t="s">
        <v>1716</v>
      </c>
      <c r="P5" s="399"/>
      <c r="Q5" s="400"/>
    </row>
    <row r="6" spans="1:17" s="93" customFormat="1" ht="15.75" customHeight="1">
      <c r="A6" s="87" t="s">
        <v>1684</v>
      </c>
      <c r="B6" s="94" t="s">
        <v>1683</v>
      </c>
      <c r="C6" s="95" t="s">
        <v>1177</v>
      </c>
      <c r="D6" s="96" t="s">
        <v>1178</v>
      </c>
      <c r="E6" s="95" t="s">
        <v>1717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1718</v>
      </c>
      <c r="M6" s="138" t="s">
        <v>30</v>
      </c>
      <c r="N6" s="139" t="s">
        <v>1172</v>
      </c>
      <c r="O6" s="241" t="s">
        <v>1215</v>
      </c>
      <c r="P6" s="152"/>
      <c r="Q6" s="188" t="s">
        <v>1719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Acionado 2 Maquinistas da escala, previsão de se apresentar em TIQ às 09h30 / Atraso, ainda não solicitado MC1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Em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1</v>
      </c>
      <c r="P378" s="90"/>
      <c r="Q378" s="144" t="str">
        <f>IF($A$2=1,IF(FN_MC!BJ289="","*",FN_MC!BJ289),IF(FN_MC!BK289="","*",FN_MC!BK289))</f>
        <v>TP pronto às 10h00 no km 301+000 em THE Sul para exec. de soldas / Em intervalo 12h06 - 14h06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Acionado táxi para Maq. Maicon e Eder para o deslocamento da residência para TCS / Prev. Maquinistas em TCS às 13h00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1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TIQ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0.45833333333333331</v>
      </c>
      <c r="J391" s="131">
        <f>IF(FN_MC!P303="","*",FN_MC!P303)</f>
        <v>0.125</v>
      </c>
      <c r="K391" s="140" t="str">
        <f>IF(FN_MC!AK303="","*",FN_MC!AK303)</f>
        <v>TIQ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IF(FN_MC!B304="","*",FN_MC!B304)</f>
        <v>46042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ELSON (TF-526)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>
        <f>IF(FN_MC!B305="","*",FN_MC!B305)</f>
        <v>46042</v>
      </c>
      <c r="B393" s="98" t="str">
        <f>IF(FN_MC!X305="","*",FN_MC!X305)</f>
        <v>Oportunidade</v>
      </c>
      <c r="C393" s="99" t="str">
        <f>IF(FN_MC!S305="","*",FN_MC!S305)</f>
        <v>FERRONORTE</v>
      </c>
      <c r="D393" s="99" t="str">
        <f>IF(FN_MC!T305="","*",FN_MC!T305)</f>
        <v>TMI-TCS</v>
      </c>
      <c r="E393" s="99" t="str">
        <f>IF(FN_MC!D305="","*",FN_MC!D305)</f>
        <v>MARCOS (TF-520)</v>
      </c>
      <c r="F393" s="99" t="str">
        <f>IF(FN_MC!H305="","*",FN_MC!H305)</f>
        <v>TCS2</v>
      </c>
      <c r="G393" s="99" t="str">
        <f>IF(FN_MC!M305="","*",FN_MC!M305)</f>
        <v>TCS</v>
      </c>
      <c r="H393" s="149">
        <f>IF(FN_MC!K305="","*",FN_MC!K305)</f>
        <v>289.7</v>
      </c>
      <c r="I393" s="131">
        <f>IF(FN_MC!O305="","*",FN_MC!O305)</f>
        <v>0.375</v>
      </c>
      <c r="J393" s="131">
        <f>IF(FN_MC!P305="","*",FN_MC!P305)</f>
        <v>8.3333333333333329E-2</v>
      </c>
      <c r="K393" s="140" t="str">
        <f>IF(FN_MC!AK305="","*",FN_MC!AK305)</f>
        <v>TCS2</v>
      </c>
      <c r="L393" s="140" t="str">
        <f>IF(FN_MC!AM305="","*",FN_MC!AM305)</f>
        <v>TCS</v>
      </c>
      <c r="M393" s="140">
        <f>IF(FN_MC!AP305="","*",FN_MC!AP305)</f>
        <v>289.7</v>
      </c>
      <c r="N393" s="140" t="str">
        <f>IF(FN_MC!AM305="","*",FN_MC!AM305)</f>
        <v>TCS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>
        <f>IF(FN_MC!B306="","*",FN_MC!B306)</f>
        <v>46042</v>
      </c>
      <c r="B394" s="98" t="str">
        <f>IF(FN_MC!X306="","*",FN_MC!X306)</f>
        <v>Oportunidade</v>
      </c>
      <c r="C394" s="99" t="str">
        <f>IF(FN_MC!S306="","*",FN_MC!S306)</f>
        <v>FERRONORTE</v>
      </c>
      <c r="D394" s="99" t="str">
        <f>IF(FN_MC!T306="","*",FN_MC!T306)</f>
        <v>TMI-TCS</v>
      </c>
      <c r="E394" s="99" t="str">
        <f>IF(FN_MC!D306="","*",FN_MC!D306)</f>
        <v>A60</v>
      </c>
      <c r="F394" s="99" t="str">
        <f>IF(FN_MC!H306="","*",FN_MC!H306)</f>
        <v>TCS2</v>
      </c>
      <c r="G394" s="99" t="str">
        <f>IF(FN_MC!M306="","*",FN_MC!M306)</f>
        <v>TCS-TGR</v>
      </c>
      <c r="H394" s="149">
        <f>IF(FN_MC!K306="","*",FN_MC!K306)</f>
        <v>290</v>
      </c>
      <c r="I394" s="131">
        <f>IF(FN_MC!O306="","*",FN_MC!O306)</f>
        <v>0.375</v>
      </c>
      <c r="J394" s="131">
        <f>IF(FN_MC!P306="","*",FN_MC!P306)</f>
        <v>4.1666666666666664E-2</v>
      </c>
      <c r="K394" s="140" t="str">
        <f>IF(FN_MC!AK306="","*",FN_MC!AK306)</f>
        <v>TCS2</v>
      </c>
      <c r="L394" s="140" t="str">
        <f>IF(FN_MC!AM306="","*",FN_MC!AM306)</f>
        <v>TCS-TGR</v>
      </c>
      <c r="M394" s="140">
        <f>IF(FN_MC!AP306="","*",FN_MC!AP306)</f>
        <v>290</v>
      </c>
      <c r="N394" s="140" t="str">
        <f>IF(FN_MC!AM306="","*",FN_MC!AM306)</f>
        <v>TCS-TGR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>
        <f>IF(FN_MC!B307="","*",FN_MC!B307)</f>
        <v>46042</v>
      </c>
      <c r="B395" s="98" t="str">
        <f>IF(FN_MC!X307="","*",FN_MC!X307)</f>
        <v>Oportunidade</v>
      </c>
      <c r="C395" s="99" t="str">
        <f>IF(FN_MC!S307="","*",FN_MC!S307)</f>
        <v>FERRONORTE</v>
      </c>
      <c r="D395" s="99" t="str">
        <f>IF(FN_MC!T307="","*",FN_MC!T307)</f>
        <v>TMI-TCS</v>
      </c>
      <c r="E395" s="99" t="str">
        <f>IF(FN_MC!D307="","*",FN_MC!D307)</f>
        <v>W50</v>
      </c>
      <c r="F395" s="99" t="str">
        <f>IF(FN_MC!H307="","*",FN_MC!H307)</f>
        <v>TCS2</v>
      </c>
      <c r="G395" s="99" t="str">
        <f>IF(FN_MC!M307="","*",FN_MC!M307)</f>
        <v>TID-TVI</v>
      </c>
      <c r="H395" s="149">
        <f>IF(FN_MC!K307="","*",FN_MC!K307)</f>
        <v>197</v>
      </c>
      <c r="I395" s="131">
        <f>IF(FN_MC!O307="","*",FN_MC!O307)</f>
        <v>0.35416666666666669</v>
      </c>
      <c r="J395" s="131">
        <f>IF(FN_MC!P307="","*",FN_MC!P307)</f>
        <v>0.125</v>
      </c>
      <c r="K395" s="140" t="str">
        <f>IF(FN_MC!AK307="","*",FN_MC!AK307)</f>
        <v>TCS2</v>
      </c>
      <c r="L395" s="140" t="str">
        <f>IF(FN_MC!AM307="","*",FN_MC!AM307)</f>
        <v>TID-TVI</v>
      </c>
      <c r="M395" s="140">
        <f>IF(FN_MC!AP307="","*",FN_MC!AP307)</f>
        <v>197</v>
      </c>
      <c r="N395" s="140" t="str">
        <f>IF(FN_MC!AM307="","*",FN_MC!AM307)</f>
        <v>TID-TVI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>
        <f>IF(FN_MC!B308="","*",FN_MC!B308)</f>
        <v>46042</v>
      </c>
      <c r="B396" s="98" t="str">
        <f>IF(FN_MC!X308="","*",FN_MC!X308)</f>
        <v>Oportunidade</v>
      </c>
      <c r="C396" s="99" t="str">
        <f>IF(FN_MC!S308="","*",FN_MC!S308)</f>
        <v>MALHA CENTRAL</v>
      </c>
      <c r="D396" s="99" t="str">
        <f>IF(FN_MC!T308="","*",FN_MC!T308)</f>
        <v>RAMAL</v>
      </c>
      <c r="E396" s="99" t="str">
        <f>IF(FN_MC!D308="","*",FN_MC!D308)</f>
        <v>A88</v>
      </c>
      <c r="F396" s="99" t="str">
        <f>IF(FN_MC!H308="","*",FN_MC!H308)</f>
        <v>ZDK2</v>
      </c>
      <c r="G396" s="99" t="str">
        <f>IF(FN_MC!M308="","*",FN_MC!M308)</f>
        <v>ZTE-ZVT</v>
      </c>
      <c r="H396" s="149">
        <f>IF(FN_MC!K308="","*",FN_MC!K308)</f>
        <v>235.4</v>
      </c>
      <c r="I396" s="131">
        <f>IF(FN_MC!O308="","*",FN_MC!O308)</f>
        <v>0.375</v>
      </c>
      <c r="J396" s="131">
        <f>IF(FN_MC!P308="","*",FN_MC!P308)</f>
        <v>4.1666666666666664E-2</v>
      </c>
      <c r="K396" s="140" t="str">
        <f>IF(FN_MC!AK308="","*",FN_MC!AK308)</f>
        <v>ZDK2</v>
      </c>
      <c r="L396" s="140" t="str">
        <f>IF(FN_MC!AM308="","*",FN_MC!AM308)</f>
        <v>ZTE-ZVT</v>
      </c>
      <c r="M396" s="140">
        <f>IF(FN_MC!AP308="","*",FN_MC!AP308)</f>
        <v>235.4</v>
      </c>
      <c r="N396" s="140" t="str">
        <f>IF(FN_MC!AM308="","*",FN_MC!AM308)</f>
        <v>ZTE-ZVT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>
        <f>IF(FN_MC!B309="","*",FN_MC!B309)</f>
        <v>46042</v>
      </c>
      <c r="B397" s="98" t="str">
        <f>IF(FN_MC!X309="","*",FN_MC!X309)</f>
        <v>Oportunidade</v>
      </c>
      <c r="C397" s="99" t="str">
        <f>IF(FN_MC!S309="","*",FN_MC!S309)</f>
        <v>MALHA CENTRAL</v>
      </c>
      <c r="D397" s="99" t="str">
        <f>IF(FN_MC!T309="","*",FN_MC!T309)</f>
        <v>RAMAL</v>
      </c>
      <c r="E397" s="99" t="str">
        <f>IF(FN_MC!D309="","*",FN_MC!D309)</f>
        <v>FRANCISCO (TF-670)</v>
      </c>
      <c r="F397" s="99" t="str">
        <f>IF(FN_MC!H309="","*",FN_MC!H309)</f>
        <v>ZBOZEP</v>
      </c>
      <c r="G397" s="99" t="str">
        <f>IF(FN_MC!M309="","*",FN_MC!M309)</f>
        <v>ZBO-ZEP</v>
      </c>
      <c r="H397" s="149">
        <f>IF(FN_MC!K309="","*",FN_MC!K309)</f>
        <v>208.3</v>
      </c>
      <c r="I397" s="131">
        <f>IF(FN_MC!O309="","*",FN_MC!O309)</f>
        <v>0.41666666666666669</v>
      </c>
      <c r="J397" s="131">
        <f>IF(FN_MC!P309="","*",FN_MC!P309)</f>
        <v>8.3333333333333329E-2</v>
      </c>
      <c r="K397" s="140" t="str">
        <f>IF(FN_MC!AK309="","*",FN_MC!AK309)</f>
        <v>ZBOZEP</v>
      </c>
      <c r="L397" s="140" t="str">
        <f>IF(FN_MC!AM309="","*",FN_MC!AM309)</f>
        <v>ZBO-ZEP</v>
      </c>
      <c r="M397" s="140">
        <f>IF(FN_MC!AP309="","*",FN_MC!AP309)</f>
        <v>208.3</v>
      </c>
      <c r="N397" s="140" t="str">
        <f>IF(FN_MC!AM309="","*",FN_MC!AM309)</f>
        <v>ZBO-ZEP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>
        <f>IF(FN_MC!B310="","*",FN_MC!B310)</f>
        <v>46042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A10</v>
      </c>
      <c r="F398" s="99" t="str">
        <f>IF(FN_MC!H310="","*",FN_MC!H310)</f>
        <v>PNNPCB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PNNPCB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1719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2026-01-19T15:49:56Z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