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01" documentId="8_{B6337239-1A00-434D-AAD0-422EA1FEB5AE}" xr6:coauthVersionLast="47" xr6:coauthVersionMax="47" xr10:uidLastSave="{789DB412-9C60-48FF-8720-D2EFACD28EE3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40" i="1" l="1" a="1"/>
  <c r="N540" i="1"/>
  <c r="M541" i="1" a="1"/>
  <c r="M541" i="1"/>
  <c r="N541" i="1" a="1"/>
  <c r="N541" i="1"/>
  <c r="M542" i="1" a="1"/>
  <c r="M542" i="1"/>
  <c r="N542" i="1" a="1"/>
  <c r="N542" i="1"/>
  <c r="M543" i="1" a="1"/>
  <c r="M543" i="1"/>
  <c r="N543" i="1" a="1"/>
  <c r="N543" i="1"/>
  <c r="N539" i="1" a="1"/>
  <c r="N539" i="1"/>
  <c r="M539" i="1" a="1"/>
  <c r="M539" i="1"/>
  <c r="N538" i="1" a="1"/>
  <c r="N538" i="1"/>
  <c r="N530" i="1" a="1"/>
  <c r="N530" i="1"/>
  <c r="M530" i="1" a="1"/>
  <c r="M530" i="1"/>
  <c r="N526" i="1" a="1"/>
  <c r="N526" i="1"/>
  <c r="M526" i="1" a="1"/>
  <c r="M526" i="1"/>
  <c r="H526" i="1" a="1"/>
  <c r="H526" i="1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L541" i="12"/>
  <c r="L540" i="12"/>
  <c r="L539" i="12"/>
  <c r="L538" i="12"/>
  <c r="L537" i="12"/>
  <c r="L536" i="12"/>
  <c r="L535" i="12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L528" i="12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L524" i="12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L520" i="12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N230" i="1" a="1"/>
  <c r="N230" i="1" s="1"/>
  <c r="N229" i="1" a="1"/>
  <c r="N229" i="1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BR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BR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S524" i="12" s="1"/>
  <c r="U526" i="1"/>
  <c r="AI526" i="1"/>
  <c r="BB526" i="1" s="1"/>
  <c r="AK526" i="1"/>
  <c r="AL526" i="1"/>
  <c r="AO526" i="1"/>
  <c r="BE526" i="1" s="1"/>
  <c r="AP526" i="1"/>
  <c r="AQ526" i="1"/>
  <c r="AY526" i="1"/>
  <c r="BR526" i="1" s="1"/>
  <c r="BF526" i="1"/>
  <c r="BS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S526" i="12" s="1"/>
  <c r="U528" i="1"/>
  <c r="AI528" i="1"/>
  <c r="BB528" i="1" s="1"/>
  <c r="AK528" i="1"/>
  <c r="AL528" i="1"/>
  <c r="AO528" i="1"/>
  <c r="BE528" i="1" s="1"/>
  <c r="AP528" i="1"/>
  <c r="AQ528" i="1"/>
  <c r="AY528" i="1"/>
  <c r="BR528" i="1" s="1"/>
  <c r="BF528" i="1"/>
  <c r="BS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BS538" i="1"/>
  <c r="A539" i="1"/>
  <c r="G539" i="1"/>
  <c r="AM539" i="1"/>
  <c r="AN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BS540" i="1"/>
  <c r="A541" i="1"/>
  <c r="G541" i="1"/>
  <c r="AM541" i="1"/>
  <c r="AN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BS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27" i="1" l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L247" i="12"/>
  <c r="AN249" i="1"/>
  <c r="L244" i="12"/>
  <c r="AN246" i="1"/>
  <c r="K227" i="12"/>
  <c r="AM229" i="1"/>
  <c r="L229" i="12"/>
  <c r="AN231" i="1"/>
  <c r="L192" i="12"/>
  <c r="AN194" i="1"/>
  <c r="L245" i="12"/>
  <c r="AN247" i="1"/>
  <c r="L227" i="12"/>
  <c r="AN229" i="1"/>
  <c r="K461" i="12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<sst xmlns="http://schemas.openxmlformats.org/spreadsheetml/2006/main" count="11664" uniqueCount="1753">
  <si>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</si>
  <si>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</si>
  <si>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</si>
  <si>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</si>
  <si>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</si>
  <si>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</si>
  <si>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</si>
  <si>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</si>
  <si>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</si>
  <si>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</si>
  <si>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</si>
  <si>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</si>
  <si>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</si>
  <si>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</si>
  <si>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</si>
  <si>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</si>
  <si>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</si>
  <si>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</si>
  <si>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</si>
  <si>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</si>
  <si>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</si>
  <si>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</si>
  <si>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</si>
  <si>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</si>
  <si>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</si>
  <si>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</si>
  <si>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</si>
  <si>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</si>
  <si>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</si>
  <si>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</si>
  <si>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</si>
  <si>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</si>
  <si>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</si>
  <si>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</si>
  <si>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</si>
  <si>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</si>
  <si>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</si>
  <si>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</si>
  <si>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</si>
  <si>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</si>
  <si>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</si>
  <si>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</si>
  <si>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</si>
  <si>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</si>
  <si>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</si>
  <si>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</si>
  <si>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</si>
  <si>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</si>
  <si>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</si>
  <si>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</si>
  <si>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</si>
  <si>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</si>
  <si>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</si>
  <si>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</si>
  <si>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</si>
  <si>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</si>
  <si>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</si>
  <si>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</si>
  <si>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</si>
  <si>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</si>
  <si>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</si>
  <si>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</si>
  <si>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</si>
  <si>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</si>
  <si>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</si>
  <si>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</si>
  <si>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</si>
  <si>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</si>
  <si>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</si>
  <si>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</si>
  <si>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</si>
  <si>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</si>
  <si>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</si>
  <si>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</si>
  <si>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</si>
  <si>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</si>
  <si>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</si>
  <si>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</si>
  <si>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</si>
  <si>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</si>
  <si>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</si>
  <si>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</si>
  <si>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</si>
  <si>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</si>
  <si>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</si>
  <si>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</si>
  <si>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</si>
  <si>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</si>
  <si>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</si>
  <si>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</si>
  <si>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</si>
  <si>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</si>
  <si>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</si>
  <si>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</si>
  <si>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</si>
  <si>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</si>
  <si>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</si>
  <si>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</si>
  <si>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</si>
  <si>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</si>
  <si>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</si>
  <si>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</si>
  <si>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</si>
  <si>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</si>
  <si>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</si>
  <si>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</si>
  <si>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</si>
  <si>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</si>
  <si>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</si>
  <si>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</si>
  <si>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</si>
  <si>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</si>
  <si>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</si>
  <si>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</si>
  <si>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</si>
  <si>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</si>
  <si>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</si>
  <si>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</si>
  <si>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</si>
  <si>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</si>
  <si>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</si>
  <si>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</si>
  <si>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</si>
  <si>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</si>
  <si>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</si>
  <si>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</si>
  <si>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</si>
  <si>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</si>
  <si>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</si>
  <si>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</si>
  <si>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</si>
  <si>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</si>
  <si>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</si>
  <si>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</si>
  <si>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</si>
  <si>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</si>
  <si>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</si>
  <si>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</si>
  <si>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</si>
  <si>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</si>
  <si>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</si>
  <si>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</si>
  <si>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</si>
  <si>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</si>
  <si>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</si>
  <si>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</si>
  <si>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</si>
  <si>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</si>
  <si>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</si>
  <si>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</si>
  <si>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</si>
  <si>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</si>
  <si>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</si>
  <si>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</si>
  <si>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</si>
  <si>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</si>
  <si>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</si>
  <si>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</si>
  <si>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</si>
  <si>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</si>
  <si>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</si>
  <si>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</si>
  <si>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</si>
  <si>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</si>
  <si>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</si>
  <si>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</si>
  <si>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</si>
  <si>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</si>
  <si>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</si>
  <si>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</si>
  <si>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</si>
  <si>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</si>
  <si>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</si>
  <si>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</si>
  <si>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</si>
  <si>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</si>
  <si>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</si>
  <si>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</si>
  <si>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</si>
  <si>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</si>
  <si>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</si>
  <si>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</si>
  <si>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</si>
  <si>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</si>
  <si>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</si>
  <si>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</si>
  <si>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</si>
  <si>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</si>
  <si>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</si>
  <si>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</si>
  <si>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</si>
  <si>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</si>
  <si>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</si>
  <si>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</si>
  <si>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</si>
  <si>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</si>
  <si>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</si>
  <si>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</si>
  <si>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</si>
  <si>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</si>
  <si>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</si>
  <si>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</si>
  <si>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</si>
  <si>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</si>
  <si>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</si>
  <si>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</si>
  <si>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</si>
  <si>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</si>
  <si>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</si>
  <si>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</si>
  <si>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</si>
  <si>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</si>
  <si>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</si>
  <si>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</si>
  <si>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</si>
  <si>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</si>
  <si>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</si>
  <si>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</si>
  <si>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</si>
  <si>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</si>
  <si>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</si>
  <si>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</si>
  <si>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</si>
  <si>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</si>
  <si>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</si>
  <si>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</si>
  <si>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</si>
  <si>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</si>
  <si>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</si>
  <si>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</si>
  <si>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</si>
  <si>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</si>
  <si>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</si>
  <si>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</si>
  <si>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</si>
  <si>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</si>
  <si>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</si>
  <si>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</si>
  <si>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</si>
  <si>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</si>
  <si>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</si>
  <si>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</si>
  <si>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</si>
  <si>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</si>
  <si>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</si>
  <si>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</si>
  <si>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</si>
  <si>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</si>
  <si>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</si>
  <si>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</si>
  <si>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</si>
  <si>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</si>
  <si>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</si>
  <si>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</si>
  <si>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</si>
  <si>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</si>
  <si>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</si>
  <si>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</si>
  <si>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</si>
  <si>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</si>
  <si>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</si>
  <si>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</si>
  <si>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</si>
  <si>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</si>
  <si>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</si>
  <si>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</si>
  <si>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</si>
  <si>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</si>
  <si>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</si>
  <si>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</si>
  <si>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</si>
  <si>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</si>
  <si>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</si>
  <si>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</si>
  <si>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</si>
  <si>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</si>
  <si>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</si>
  <si>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</si>
  <si>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</si>
  <si>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</si>
  <si>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</si>
  <si>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</si>
  <si>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</si>
  <si>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</si>
  <si>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</si>
  <si>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</si>
  <si>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</si>
  <si>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</si>
  <si>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</si>
  <si>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</si>
  <si>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</si>
  <si>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</si>
  <si>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</si>
  <si>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</si>
  <si>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</si>
  <si>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</si>
  <si>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</si>
  <si>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</si>
  <si>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</si>
  <si>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</si>
  <si>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</si>
  <si>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</si>
  <si>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</si>
  <si>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</si>
  <si>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</si>
  <si>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</si>
  <si>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</si>
  <si>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</si>
  <si>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</si>
  <si>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</si>
  <si>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</si>
  <si>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</si>
  <si>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</si>
  <si>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</si>
  <si>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</si>
  <si>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</si>
  <si>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</si>
  <si>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</si>
  <si>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</si>
  <si>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</si>
  <si>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</si>
  <si>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</si>
  <si>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</si>
  <si>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</si>
  <si>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</si>
  <si>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</si>
  <si>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</si>
  <si>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</si>
  <si>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</si>
  <si>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</si>
  <si>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</si>
  <si>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</si>
  <si>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</si>
  <si>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</si>
  <si>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</si>
  <si>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</si>
  <si>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</si>
  <si>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</si>
  <si>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</si>
  <si>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</si>
  <si>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</si>
  <si>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</si>
  <si>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</si>
  <si>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</si>
  <si>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</si>
  <si>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</si>
  <si>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</si>
  <si>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</si>
  <si>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</si>
  <si>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</si>
  <si>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</si>
  <si>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</si>
  <si>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</si>
  <si>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</si>
  <si>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</si>
  <si>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</si>
  <si>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</si>
  <si>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</si>
  <si>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</si>
  <si>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</si>
  <si>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</si>
  <si>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</si>
  <si>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</si>
  <si>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</si>
  <si>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</si>
  <si>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</si>
  <si>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</si>
  <si>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</si>
  <si>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</si>
  <si>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</si>
  <si>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</si>
  <si>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</si>
  <si>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</si>
  <si>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</si>
  <si>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</si>
  <si>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</si>
  <si>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</si>
  <si>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</si>
  <si>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</si>
  <si>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</si>
  <si>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</si>
  <si>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</si>
  <si>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</si>
  <si>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</si>
  <si>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</si>
  <si>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</si>
  <si>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</si>
  <si>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</si>
  <si>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</si>
  <si>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</si>
  <si>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</si>
  <si>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</si>
  <si>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</si>
  <si>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</si>
  <si>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</si>
  <si>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</si>
  <si>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</si>
  <si>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</si>
  <si>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</si>
  <si>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</si>
  <si>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</si>
  <si>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</si>
  <si>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</si>
  <si>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</si>
  <si>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</si>
  <si>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</si>
  <si>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</si>
  <si>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</si>
  <si>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</si>
  <si>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</si>
  <si>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</si>
  <si>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</si>
  <si>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</si>
  <si>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</si>
  <si>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</si>
  <si>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</si>
  <si>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</si>
  <si>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</si>
  <si>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</si>
  <si>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</si>
  <si>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</si>
  <si>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</si>
  <si>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</si>
  <si>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</si>
  <si>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</si>
  <si>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</si>
  <si>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</si>
  <si>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</si>
  <si>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</si>
  <si>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</si>
  <si>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</si>
  <si>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</si>
  <si>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</si>
  <si>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</si>
  <si>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</si>
  <si>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</si>
  <si>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</si>
  <si>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</si>
  <si>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</si>
  <si>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</si>
  <si>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</si>
  <si>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</si>
  <si>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</si>
  <si>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</si>
  <si>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</si>
  <si>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</si>
  <si>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</si>
  <si>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</si>
  <si>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</si>
  <si>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</si>
  <si>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</si>
  <si>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</si>
  <si>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</si>
  <si>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</si>
  <si>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</si>
  <si>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</si>
  <si>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</si>
  <si>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</si>
  <si>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</si>
  <si>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</si>
  <si>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</si>
  <si>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</si>
  <si>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</si>
  <si>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</si>
  <si>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</si>
  <si>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</si>
  <si>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</si>
  <si>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</si>
  <si>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</si>
  <si>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</si>
  <si>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</si>
  <si>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</si>
  <si>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</si>
  <si>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</si>
  <si>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</si>
  <si>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</si>
  <si>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</si>
  <si>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</si>
  <si>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</si>
  <si>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</si>
  <si>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</si>
  <si>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</si>
  <si>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</si>
  <si>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</si>
  <si>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</si>
  <si>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</si>
  <si>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</si>
  <si>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</si>
  <si>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</si>
  <si>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</si>
  <si>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</si>
  <si>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</si>
  <si>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</si>
  <si>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</si>
  <si>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</si>
  <si>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</si>
  <si>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</si>
  <si>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</si>
  <si>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</si>
  <si>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</si>
  <si>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</si>
  <si>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</si>
  <si>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</si>
  <si>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</si>
  <si>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</si>
  <si>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</si>
  <si>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</si>
  <si>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</si>
  <si>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</si>
  <si>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</si>
  <si>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</si>
  <si>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</si>
  <si>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</si>
  <si>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</si>
  <si>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</si>
  <si>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</si>
  <si>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</si>
  <si>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</si>
  <si>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</si>
  <si>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</si>
  <si>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</si>
  <si>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</si>
  <si>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</si>
  <si>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</si>
  <si>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</si>
  <si>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</si>
  <si>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</si>
  <si>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</si>
  <si>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</si>
  <si>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</si>
  <si>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</si>
  <si>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</si>
  <si>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</si>
  <si>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</si>
  <si>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</si>
  <si>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</si>
  <si>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</si>
  <si>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</si>
  <si>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</si>
  <si>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</si>
  <si>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</si>
  <si>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</si>
  <si>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</si>
  <si>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</si>
  <si>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</si>
  <si>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</si>
  <si>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</si>
  <si>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</si>
  <si>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</si>
  <si>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</si>
  <si>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</si>
  <si>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</si>
  <si>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</si>
  <si>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</si>
  <si>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</si>
  <si>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</si>
  <si>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</si>
  <si>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</si>
  <si>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</si>
  <si>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</si>
  <si>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</si>
  <si>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</si>
  <si>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</si>
  <si>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</si>
  <si>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</si>
  <si>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</si>
  <si>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</si>
  <si>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</si>
  <si>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</si>
  <si>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</si>
  <si>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</si>
  <si>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</si>
  <si>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</si>
  <si>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</si>
  <si>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</si>
  <si>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</si>
  <si>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</si>
  <si>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</si>
  <si>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</si>
  <si>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</si>
  <si>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</si>
  <si>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</si>
  <si>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</si>
  <si>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</si>
  <si>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</si>
  <si>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</si>
  <si>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</si>
  <si>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</si>
  <si>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</si>
  <si>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</si>
  <si>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</si>
  <si>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</si>
  <si>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</si>
  <si>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</si>
  <si>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</si>
  <si>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</si>
  <si>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</si>
  <si>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</si>
  <si>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</si>
  <si>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</si>
  <si>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</si>
  <si>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</si>
  <si>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</si>
  <si>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</si>
  <si>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</si>
  <si>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</si>
  <si>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</si>
  <si>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</si>
  <si>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</si>
  <si>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</si>
  <si>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</si>
  <si>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</si>
  <si>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</si>
  <si>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</si>
  <si>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</si>
  <si>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</si>
  <si>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</si>
  <si>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</si>
  <si>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</si>
  <si>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</si>
  <si>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</si>
  <si>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</si>
  <si>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</si>
  <si>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</si>
  <si>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</si>
  <si>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</si>
  <si>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</si>
  <si>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</si>
  <si>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</si>
  <si>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</si>
  <si>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</si>
  <si>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</si>
  <si>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</si>
  <si>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</si>
  <si>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</si>
  <si>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</si>
  <si>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</si>
  <si>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</si>
  <si>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</si>
  <si>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</si>
  <si>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</si>
  <si>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</si>
  <si>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</si>
  <si>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</si>
  <si>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</si>
  <si>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</si>
  <si>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</si>
  <si>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</si>
  <si>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</si>
  <si>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</si>
  <si>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</si>
  <si>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</si>
  <si>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</si>
  <si>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</si>
  <si>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</si>
  <si>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</si>
  <si>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</si>
  <si>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</si>
  <si>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</si>
  <si>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</si>
  <si>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</si>
  <si>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</si>
  <si>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</si>
  <si>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</si>
  <si>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</si>
  <si>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</si>
  <si>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</si>
  <si>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</si>
  <si>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</si>
  <si>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</si>
  <si>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</si>
  <si>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</si>
  <si>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</si>
  <si>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</si>
  <si>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</si>
  <si>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</si>
  <si>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</si>
  <si>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</si>
  <si>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</si>
  <si>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</si>
  <si>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</si>
  <si>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</si>
  <si>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</si>
  <si>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</si>
  <si>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</si>
  <si>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</si>
  <si>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</si>
  <si>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</si>
  <si>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</si>
  <si>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</si>
  <si>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</si>
  <si>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</si>
  <si>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</si>
  <si>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</si>
  <si>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</si>
  <si>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</si>
  <si>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</si>
  <si>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</si>
  <si>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</si>
  <si>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</si>
  <si>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</si>
  <si>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</si>
  <si>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</si>
  <si>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</si>
  <si>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</si>
  <si>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</si>
  <si>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</si>
  <si>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</si>
  <si>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</si>
  <si>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</si>
  <si>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</si>
  <si>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</si>
  <si>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</si>
  <si>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</si>
  <si>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</si>
  <si>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</si>
  <si>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</si>
  <si>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</si>
  <si>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</si>
  <si>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</si>
  <si>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</si>
  <si>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</si>
  <si>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</si>
  <si>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</si>
  <si>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</si>
  <si>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</si>
  <si>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</si>
  <si>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</si>
  <si>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</si>
  <si>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</si>
  <si>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</si>
  <si>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</si>
  <si>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</si>
  <si>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</si>
  <si>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</si>
  <si>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</si>
  <si>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</si>
  <si>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</si>
  <si>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</si>
  <si>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</si>
  <si>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</si>
  <si>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</si>
  <si>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</si>
  <si>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</si>
  <si>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</si>
  <si>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</si>
  <si>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</si>
  <si>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</si>
  <si>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</si>
  <si>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</si>
  <si>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</si>
  <si>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</si>
  <si>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</si>
  <si>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</si>
  <si>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</si>
  <si>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</si>
  <si>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</si>
  <si>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</si>
  <si>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</si>
  <si>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</si>
  <si>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</si>
  <si>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</si>
  <si>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</si>
  <si>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</si>
  <si>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</si>
  <si>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</si>
  <si>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</si>
  <si>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</si>
  <si>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</si>
  <si>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</si>
  <si>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</si>
  <si>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</si>
  <si>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</si>
  <si>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</si>
  <si>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</si>
  <si>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</si>
  <si>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</si>
  <si>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</si>
  <si>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</si>
  <si>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</si>
  <si>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</si>
  <si>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</si>
  <si>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</si>
  <si>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</si>
  <si>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</si>
  <si>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</si>
  <si>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</si>
  <si>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</si>
  <si>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</si>
  <si>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</si>
  <si>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</si>
  <si>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</si>
  <si>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</si>
  <si>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</si>
  <si>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</si>
  <si>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</si>
  <si>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</si>
  <si>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</si>
  <si>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</si>
  <si>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</si>
  <si>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</si>
  <si>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</si>
  <si>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</si>
  <si>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</si>
  <si>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</si>
  <si>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</si>
  <si>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</si>
  <si>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</si>
  <si>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</si>
  <si>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</si>
  <si>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</si>
  <si>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</si>
  <si>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</si>
  <si>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</si>
  <si>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</si>
  <si>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</si>
  <si>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</si>
  <si>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</si>
  <si>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</si>
  <si>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</si>
  <si>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</si>
  <si>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</si>
  <si>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</si>
  <si>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</si>
  <si>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</si>
  <si>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</si>
  <si>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</si>
  <si>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</si>
  <si>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</si>
  <si>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</si>
  <si>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</si>
  <si>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</si>
  <si>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</si>
  <si>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</si>
  <si>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</si>
  <si>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</si>
  <si>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</si>
  <si>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</si>
  <si>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</si>
  <si>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</si>
  <si>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</si>
  <si>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</si>
  <si>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</si>
  <si>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</si>
  <si>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</si>
  <si>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</si>
  <si>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</si>
  <si>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</si>
  <si>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</si>
  <si>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</si>
  <si>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</si>
  <si>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</si>
  <si>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</si>
  <si>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</si>
  <si>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</si>
  <si>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</si>
  <si>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</si>
  <si>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</si>
  <si>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</si>
  <si>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</si>
  <si>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</si>
  <si>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</si>
  <si>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</si>
  <si>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</si>
  <si>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</si>
  <si>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</si>
  <si>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</si>
  <si>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</si>
  <si>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</si>
  <si>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</si>
  <si>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</si>
  <si>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</si>
  <si>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</si>
  <si>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</si>
  <si>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</si>
  <si>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</si>
  <si>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</si>
  <si>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</si>
  <si>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</si>
  <si>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</si>
  <si>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</si>
  <si>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</si>
  <si>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</si>
  <si>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</si>
  <si>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</si>
  <si>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</si>
  <si>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</si>
  <si>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</si>
  <si>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</si>
  <si>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</si>
  <si>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</si>
  <si>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</si>
  <si>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</si>
  <si>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</si>
  <si>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</si>
  <si>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</si>
  <si>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</si>
  <si>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</si>
  <si>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</si>
  <si>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</si>
  <si>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</si>
  <si>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</si>
  <si>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</si>
  <si>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</si>
  <si>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</si>
  <si>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</si>
  <si>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</si>
  <si>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</si>
  <si>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</si>
  <si>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</si>
  <si>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</si>
  <si>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</si>
  <si>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</si>
  <si>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</si>
  <si>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</si>
  <si>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</si>
  <si>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</si>
  <si>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</si>
  <si>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</si>
  <si>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</si>
  <si>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</si>
  <si>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</si>
  <si>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</si>
  <si>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</si>
  <si>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</si>
  <si>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</si>
  <si>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</si>
  <si>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</si>
  <si>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</si>
  <si>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</si>
  <si>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</si>
  <si>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</si>
  <si>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</si>
  <si>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</si>
  <si>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</si>
  <si>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</si>
  <si>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</si>
  <si>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</si>
  <si>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</si>
  <si>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</si>
  <si>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</si>
  <si>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</si>
  <si>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</si>
  <si>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</si>
  <si>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</si>
  <si>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</si>
  <si>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</si>
  <si>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</si>
  <si>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</si>
  <si>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</si>
  <si>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</si>
  <si>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</si>
  <si>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</si>
  <si>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</si>
  <si>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</si>
  <si>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</si>
  <si>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</si>
  <si>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</si>
  <si>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</si>
  <si>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</si>
  <si>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</si>
  <si>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</si>
  <si>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</si>
  <si>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</si>
  <si>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</si>
  <si>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</si>
  <si>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</si>
  <si>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</si>
  <si>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</si>
  <si>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</si>
  <si>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</si>
  <si>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</si>
  <si>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</si>
  <si>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</si>
  <si>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</si>
  <si>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</si>
  <si>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</si>
  <si>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</si>
  <si>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</si>
  <si>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</si>
  <si>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</si>
  <si>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</si>
  <si>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</si>
  <si>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</si>
  <si>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</si>
  <si>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</si>
  <si>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</si>
  <si>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</si>
  <si>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</si>
  <si>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</si>
  <si>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</si>
  <si>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</si>
  <si>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</si>
  <si>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</si>
  <si>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</si>
  <si>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</si>
  <si>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</si>
  <si>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</si>
  <si>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</si>
  <si>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</si>
  <si>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</si>
  <si>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</si>
  <si>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</si>
  <si>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</si>
  <si>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</si>
  <si>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</si>
  <si>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</si>
  <si>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</si>
  <si>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</si>
  <si>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</si>
  <si>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</si>
  <si>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</si>
  <si>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</si>
  <si>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</si>
  <si>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</si>
  <si>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</si>
  <si>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</si>
  <si>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</si>
  <si>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</si>
  <si>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</si>
  <si>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</si>
  <si>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</si>
  <si>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</si>
  <si>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</si>
  <si>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</si>
  <si>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</si>
  <si>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</si>
  <si>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</si>
  <si>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</si>
  <si>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</si>
  <si>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</si>
  <si>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</si>
  <si>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</si>
  <si>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</si>
  <si>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</si>
  <si>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</si>
  <si>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</si>
  <si>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</si>
  <si>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</si>
  <si>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</si>
  <si>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</si>
  <si>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</si>
  <si>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</si>
  <si>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</si>
  <si>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</si>
  <si>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</si>
  <si>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</si>
  <si>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</si>
  <si>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</si>
  <si>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</si>
  <si>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</si>
  <si>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</si>
  <si>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</si>
  <si>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</si>
  <si>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</si>
  <si>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</si>
  <si>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</si>
  <si>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</si>
  <si>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</si>
  <si>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</si>
  <si>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</si>
  <si>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</si>
  <si>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</si>
  <si>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</si>
  <si>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</si>
  <si>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</si>
  <si>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</si>
  <si>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</si>
  <si>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</si>
  <si>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</si>
  <si>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</si>
  <si>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</si>
  <si>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</si>
  <si>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</si>
  <si>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</si>
  <si>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</si>
  <si>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</si>
  <si>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</si>
  <si>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</si>
  <si>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</si>
  <si>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</si>
  <si>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</si>
  <si>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</si>
  <si>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</si>
  <si>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</si>
  <si>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</si>
  <si>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</si>
  <si>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</si>
  <si>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</si>
  <si>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</si>
  <si>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</si>
  <si>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</si>
  <si>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</si>
  <si>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</si>
  <si>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</si>
  <si>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</si>
  <si>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</si>
  <si>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</si>
  <si>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</si>
  <si>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</si>
  <si>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</si>
  <si>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</si>
  <si>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</si>
  <si>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</si>
  <si>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</si>
  <si>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</si>
  <si>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</si>
  <si>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</si>
  <si>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</si>
  <si>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</si>
  <si>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</si>
  <si>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</si>
  <si>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</si>
  <si>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</si>
  <si>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</si>
  <si>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</si>
  <si>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</si>
  <si>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</si>
  <si>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</si>
  <si>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</si>
  <si>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</si>
  <si>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</si>
  <si>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</si>
  <si>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</si>
  <si>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</si>
  <si>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</si>
  <si>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</si>
  <si>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</si>
  <si>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</si>
  <si>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</si>
  <si>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</si>
  <si>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</si>
  <si>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</si>
  <si>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</si>
  <si>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</si>
  <si>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</si>
  <si>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</si>
  <si>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</si>
  <si>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</si>
  <si>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</si>
  <si>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</si>
  <si>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</si>
  <si>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</si>
  <si>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</si>
  <si>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</si>
  <si>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</si>
  <si>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</si>
  <si>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</si>
  <si>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</si>
  <si>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</si>
  <si>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</si>
  <si>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</si>
  <si>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</si>
  <si>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</si>
  <si>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</si>
  <si>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</si>
  <si>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</si>
  <si>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</si>
  <si>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</si>
  <si>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</si>
  <si>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</si>
  <si>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</si>
  <si>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</si>
  <si>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</si>
  <si>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</si>
  <si>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</si>
  <si>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</si>
  <si>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</si>
  <si>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</si>
  <si>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</si>
  <si>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</si>
  <si>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</si>
  <si>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</si>
  <si>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</si>
  <si>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</si>
  <si>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</si>
  <si>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</si>
  <si>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</si>
  <si>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</si>
  <si>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</si>
  <si>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</si>
  <si>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</si>
  <si>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</si>
  <si>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</si>
  <si>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</si>
  <si>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</si>
  <si>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</si>
  <si>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</si>
  <si>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</si>
  <si>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</si>
  <si>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</si>
  <si>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</si>
  <si>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</si>
  <si>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</si>
  <si>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</si>
  <si>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</si>
  <si>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</si>
  <si>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</si>
  <si>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</si>
  <si>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</si>
  <si>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</si>
  <si>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</si>
  <si>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</si>
  <si>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</si>
  <si>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</si>
  <si>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</si>
  <si>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</si>
  <si>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</si>
  <si>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</si>
  <si>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</si>
  <si>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</si>
  <si>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</si>
  <si>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</si>
  <si>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</si>
  <si>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</si>
  <si>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</si>
  <si>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</si>
  <si>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</si>
  <si>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</si>
  <si>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</si>
  <si>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</si>
  <si>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</si>
  <si>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</si>
  <si>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</si>
  <si>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</si>
  <si>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</si>
  <si>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</si>
  <si>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</si>
  <si>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</si>
  <si>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</si>
  <si>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</si>
  <si>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</si>
  <si>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</si>
  <si>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</si>
  <si>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</si>
  <si>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</si>
  <si>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</si>
  <si>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</si>
  <si>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</si>
  <si>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</si>
  <si>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</si>
  <si>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</si>
  <si>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</si>
  <si>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</si>
  <si>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</si>
  <si>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</si>
  <si>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</si>
  <si>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</si>
  <si>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</si>
  <si>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</si>
  <si>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</si>
  <si>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</si>
  <si>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</si>
  <si>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</si>
  <si>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</si>
  <si>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</si>
  <si>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</si>
  <si>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</si>
  <si>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</si>
  <si>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</si>
  <si>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</si>
  <si>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</si>
  <si>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</si>
  <si>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</si>
  <si>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</si>
  <si>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</si>
  <si>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</si>
  <si>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</si>
  <si>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</si>
  <si>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</si>
  <si>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</si>
  <si>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</si>
  <si>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</si>
  <si>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</si>
  <si>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</si>
  <si>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</si>
  <si>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</si>
  <si>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</si>
  <si>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</si>
  <si>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</si>
  <si>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</si>
  <si>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</si>
  <si>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</si>
  <si>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</si>
  <si>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</si>
  <si>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</si>
  <si>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</si>
  <si>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</si>
  <si>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</si>
  <si>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</si>
  <si>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</si>
  <si>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</si>
  <si>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</si>
  <si>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</si>
  <si>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</si>
  <si>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</si>
  <si>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</si>
  <si>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</si>
  <si>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</si>
  <si>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</si>
  <si>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</si>
  <si>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</si>
  <si>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</si>
  <si>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</si>
  <si>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</si>
  <si>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</si>
  <si>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</si>
  <si>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</si>
  <si>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</si>
  <si>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</si>
  <si>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</si>
  <si>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</si>
  <si>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</si>
  <si>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</si>
  <si>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</si>
  <si>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</si>
  <si>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</si>
  <si>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</si>
  <si>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</si>
  <si>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</si>
  <si>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</si>
  <si>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</si>
  <si>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</si>
  <si>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</si>
  <si>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</si>
  <si>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</si>
  <si>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</si>
  <si>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</si>
  <si>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</si>
  <si>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</si>
  <si>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</si>
  <si>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</si>
  <si>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</si>
  <si>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</si>
  <si>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</si>
  <si>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</si>
  <si>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</si>
  <si>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</si>
  <si>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</si>
  <si>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</si>
  <si>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</si>
  <si>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</si>
  <si>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</si>
  <si>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</si>
  <si>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</si>
  <si>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</si>
  <si>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</si>
  <si>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</si>
  <si>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</si>
  <si>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</si>
  <si>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</si>
  <si>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</si>
  <si>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</si>
  <si>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</si>
  <si>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</si>
  <si>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</si>
  <si>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</si>
  <si>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</si>
  <si>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</si>
  <si>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</si>
  <si>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</si>
  <si>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</si>
  <si>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</si>
  <si>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</si>
  <si>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</si>
  <si>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</si>
  <si>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</si>
  <si>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</si>
  <si>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</si>
  <si>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</si>
  <si>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</si>
  <si>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</si>
  <si>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</si>
  <si>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</si>
  <si>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</si>
  <si>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</si>
  <si>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</si>
  <si>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</si>
  <si>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</si>
  <si>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</si>
  <si>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</si>
  <si>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</si>
  <si>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</si>
  <si>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</si>
  <si>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</si>
  <si>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</si>
  <si>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</si>
  <si>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</si>
  <si>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</si>
  <si>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</si>
  <si>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</si>
  <si>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</si>
  <si>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</si>
  <si>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</si>
  <si>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</si>
  <si>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</si>
  <si>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</si>
  <si>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</si>
  <si>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</si>
  <si>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</si>
  <si>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</si>
  <si>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</si>
  <si>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</si>
  <si>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</si>
  <si>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</si>
  <si>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</si>
  <si>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</si>
  <si>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</si>
  <si>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</si>
  <si>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</si>
  <si>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</si>
  <si>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</si>
  <si>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</si>
  <si>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</si>
  <si>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</si>
  <si>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</si>
  <si>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</si>
  <si>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</si>
  <si>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</si>
  <si>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</si>
  <si>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</si>
  <si>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</si>
  <si>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</si>
  <si>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</si>
  <si>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</si>
  <si>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</si>
  <si>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</si>
  <si>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</si>
  <si>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</si>
  <si>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</si>
  <si>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</si>
  <si>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</si>
  <si>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</si>
  <si>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</si>
  <si>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</si>
  <si>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</si>
  <si>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</si>
  <si>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</si>
  <si>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</si>
  <si>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</si>
  <si>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</si>
  <si>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</si>
  <si>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</si>
  <si>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</si>
  <si>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</si>
  <si>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</si>
  <si>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</si>
  <si>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</si>
  <si>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</si>
  <si>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</si>
  <si>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</si>
  <si>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</si>
  <si>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</si>
  <si>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</si>
  <si>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</si>
  <si>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</si>
  <si>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</si>
  <si>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</si>
  <si>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</si>
  <si>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</si>
  <si>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</si>
  <si>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</si>
  <si>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</si>
  <si>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</si>
  <si>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</si>
  <si>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</si>
  <si>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</si>
  <si>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</si>
  <si>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</si>
  <si>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</si>
  <si>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</si>
  <si>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</si>
  <si>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</si>
  <si>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</si>
  <si>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</si>
  <si>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</si>
  <si>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</si>
  <si>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</si>
  <si>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</si>
  <si>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</si>
  <si>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</si>
  <si>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</si>
  <si>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</si>
  <si>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</si>
  <si>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</si>
  <si>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</si>
  <si>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</si>
  <si>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</si>
  <si>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</si>
  <si>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</si>
  <si>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</si>
  <si>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</si>
  <si>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</si>
  <si>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</si>
  <si>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</si>
  <si>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</si>
  <si>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</si>
  <si>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</si>
  <si>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</si>
  <si>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</si>
  <si>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</si>
  <si>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</si>
  <si>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</si>
  <si>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</si>
  <si>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</si>
  <si>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</si>
  <si>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</si>
  <si>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</si>
  <si>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</si>
  <si>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</si>
  <si>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</si>
  <si>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</si>
  <si>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</si>
  <si>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</si>
  <si>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</si>
  <si>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</si>
  <si>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</si>
  <si>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</si>
  <si>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</si>
  <si>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</si>
  <si>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</si>
  <si>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</si>
  <si>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</si>
  <si>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</si>
  <si>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</si>
  <si>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</si>
  <si>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</si>
  <si>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</si>
  <si>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</si>
  <si>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</si>
  <si>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</si>
  <si>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</si>
  <si>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</si>
  <si>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</si>
  <si>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</si>
  <si>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</si>
  <si>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</si>
  <si>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</si>
  <si>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</si>
  <si>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</si>
  <si>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</si>
  <si>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</si>
  <si>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</si>
  <si>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</si>
  <si>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</si>
  <si>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</si>
  <si>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</si>
  <si>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</si>
  <si>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</si>
  <si>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</si>
  <si>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</si>
  <si>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</si>
  <si>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</si>
  <si>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</si>
  <si>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</si>
  <si>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</si>
  <si>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</si>
  <si>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</si>
  <si>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</si>
  <si>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</si>
  <si>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</si>
  <si>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</si>
  <si>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</si>
  <si>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</si>
  <si>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</si>
  <si>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</si>
  <si>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</si>
  <si>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</si>
  <si>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</si>
  <si>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</si>
  <si>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</si>
  <si>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</si>
  <si>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</si>
  <si>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</si>
  <si>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</si>
  <si>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</si>
  <si>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</si>
  <si>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</si>
  <si>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</si>
  <si>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</si>
  <si>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</si>
  <si>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</si>
  <si>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</si>
  <si>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</si>
  <si>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</si>
  <si>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</si>
  <si>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</si>
  <si>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</si>
  <si>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</si>
  <si>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</si>
  <si>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</si>
  <si>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</si>
  <si>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</si>
  <si>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</si>
  <si>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</si>
  <si>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</si>
  <si>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</si>
  <si>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</si>
  <si>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</si>
  <si>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</si>
  <si>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</si>
  <si>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</si>
  <si>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</si>
  <si>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</si>
  <si>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</si>
  <si>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</si>
  <si>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</si>
  <si>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</si>
  <si>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</si>
  <si>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</si>
  <si>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</si>
  <si>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</si>
  <si>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</si>
  <si>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</si>
  <si>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</si>
  <si>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</si>
  <si>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</si>
  <si>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</si>
  <si>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</si>
  <si>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</si>
  <si>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</si>
  <si>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</si>
  <si>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</si>
  <si>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</si>
  <si>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</si>
  <si>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</si>
  <si>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</si>
  <si>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</si>
  <si>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</si>
  <si>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</si>
  <si>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</si>
  <si>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</si>
  <si>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</si>
  <si>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</si>
  <si>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</si>
  <si>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</si>
  <si>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</si>
  <si>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MC1 08h25 / previsão de faixa 11h30 /</t>
  </si>
  <si>
    <t>MC1 08h25 / autorizado entrada na via 12h26 / Em deslocamento para ZEM.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</si>
  <si>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</si>
  <si>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</si>
  <si>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</si>
  <si>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</si>
  <si>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</si>
  <si>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</si>
  <si>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</si>
  <si>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</si>
  <si>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</si>
  <si>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</si>
  <si>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</si>
  <si>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</si>
  <si>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</si>
  <si>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</si>
  <si>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</si>
  <si>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</si>
  <si>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</si>
  <si>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</si>
  <si>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</si>
  <si>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</si>
  <si>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Em intervalo das 13h35 até 15h35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</si>
  <si>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</si>
  <si>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</si>
  <si>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</si>
  <si>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</si>
  <si>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</si>
  <si>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</si>
  <si>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</si>
  <si>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</si>
  <si>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</si>
  <si>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</si>
  <si>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MC1 11h36 / autorizado entrada na via 12h23. Em deslocamento</t>
  </si>
  <si>
    <t>Edson / Moisés</t>
  </si>
  <si>
    <t>TP embarcado no W61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</si>
  <si>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</si>
  <si>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</si>
  <si>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</si>
  <si>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</si>
  <si>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</si>
  <si>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</si>
  <si>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Descarga de dormentes km213+000 ao km214+000  (20min); Descarga de dormentes km 226+000 ao km228+000 (15min); Recolher dormentes km 230+500 (20min); Descarga de pedra km232+800 (30min).</t>
  </si>
  <si>
    <t>102ZKW</t>
  </si>
  <si>
    <t>Descarga trilheiro</t>
  </si>
  <si>
    <t>Antonioni</t>
  </si>
  <si>
    <t>ZEV-ZPG</t>
  </si>
  <si>
    <t>ZEVZPG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</si>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</sst>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B492" activePane="bottomRight" state="frozen"/>
      <selection pane="bottomRight" activeCell="BK514" sqref="BK5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>
        <v>0.51180555555555551</v>
      </c>
      <c r="AS492" s="237">
        <v>0.58263888888888893</v>
      </c>
      <c r="AT492" s="237">
        <v>0.70763888888888893</v>
      </c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0.125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77" t="s">
        <v>994</v>
      </c>
      <c r="BK492" s="17" t="s">
        <v>1636</v>
      </c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</v>
      </c>
      <c r="BR492" s="19">
        <f>IF(OR(B492="",F492=""),"*",AY492/P492)</f>
        <v>1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tr">
        <f>IF(BS_CONTROLE[[#This Row],[Local - Encerramento]]=0, "-", BS_CONTROLE[[#This Row],[Local - Encerramento]])</f>
        <v>ZEM-1</v>
      </c>
      <c r="AM493" s="273" t="str">
        <f>IF(BS_CONTROLE[[#This Row],[Entre - Estações]]=0, "-", BS_CONTROLE[[#This Row],[Entre - Estações]])</f>
        <v>ZYU-ZEM</v>
      </c>
      <c r="AN493" s="273" t="str">
        <f>IF(BS_CONTROLE[[#This Row],[SB]]=0, "-", BS_CONTROLE[[#This Row],[SB]])</f>
        <v>ZYUZEM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>
        <v>0</v>
      </c>
      <c r="AT493" s="237">
        <v>4.1666666666666664E-2</v>
      </c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77" t="s">
        <v>1637</v>
      </c>
      <c r="BK493" s="17" t="s">
        <v>1638</v>
      </c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</v>
      </c>
      <c r="BR493" s="19">
        <f>IF(OR(B493="",F493=""),"*",AY493/P493)</f>
        <v>1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1639</v>
      </c>
      <c r="BK494" s="17" t="s">
        <v>1639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1639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1640</v>
      </c>
      <c r="BK495" s="17" t="s">
        <v>1640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1640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1641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1642</v>
      </c>
      <c r="BK496" s="17" t="s">
        <v>1643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1643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>
        <v>0.54166666666666663</v>
      </c>
      <c r="AS497" s="237">
        <v>0</v>
      </c>
      <c r="AT497" s="237">
        <v>0</v>
      </c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77" t="s">
        <v>994</v>
      </c>
      <c r="BK497" s="17" t="s">
        <v>1644</v>
      </c>
      <c r="BL497" s="16"/>
      <c r="BM497" s="15" t="s">
        <v>697</v>
      </c>
      <c r="BN497" s="15" t="s">
        <v>697</v>
      </c>
      <c r="BO497" s="165" t="s">
        <v>697</v>
      </c>
      <c r="BP497" s="18" t="s">
        <v>1644</v>
      </c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>SemOportunidadeSemOportunidade</v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1645</v>
      </c>
      <c r="BK498" s="17" t="s">
        <v>1645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1645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1646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>
        <v>0</v>
      </c>
      <c r="AT500" s="237">
        <v>0</v>
      </c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77" t="s">
        <v>1647</v>
      </c>
      <c r="BK500" s="17" t="s">
        <v>1647</v>
      </c>
      <c r="BL500" s="16"/>
      <c r="BM500" s="15" t="s">
        <v>687</v>
      </c>
      <c r="BN500" s="15" t="s">
        <v>717</v>
      </c>
      <c r="BO500" s="165" t="s">
        <v>780</v>
      </c>
      <c r="BP500" s="18" t="s">
        <v>1648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1649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1650</v>
      </c>
      <c r="BK501" s="17" t="s">
        <v>1650</v>
      </c>
      <c r="BL501" s="16"/>
      <c r="BM501" s="15" t="s">
        <v>687</v>
      </c>
      <c r="BN501" s="15" t="s">
        <v>717</v>
      </c>
      <c r="BO501" s="165" t="s">
        <v>780</v>
      </c>
      <c r="BP501" s="18" t="s">
        <v>1650</v>
      </c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>SuperExecução</v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1651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1652</v>
      </c>
      <c r="BK502" s="17" t="s">
        <v>1652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1652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1653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1652</v>
      </c>
      <c r="BK503" s="17" t="s">
        <v>1652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1652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1654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>
        <v>0</v>
      </c>
      <c r="AT504" s="237">
        <v>0</v>
      </c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77" t="s">
        <v>1647</v>
      </c>
      <c r="BK504" s="17" t="s">
        <v>1647</v>
      </c>
      <c r="BL504" s="16"/>
      <c r="BM504" s="15" t="s">
        <v>687</v>
      </c>
      <c r="BN504" s="15" t="s">
        <v>717</v>
      </c>
      <c r="BO504" s="165" t="s">
        <v>780</v>
      </c>
      <c r="BP504" s="18" t="s">
        <v>1647</v>
      </c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>SuperExecução</v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1655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1652</v>
      </c>
      <c r="BK505" s="17" t="s">
        <v>1652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1652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1656</v>
      </c>
      <c r="BK507" s="17" t="s">
        <v>1656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1656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1657</v>
      </c>
      <c r="BK508" s="17" t="s">
        <v>1656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1656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>
        <v>0.56597222222222221</v>
      </c>
      <c r="AT509" s="237">
        <v>0.64930555555555558</v>
      </c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77" t="s">
        <v>1658</v>
      </c>
      <c r="BK509" s="17" t="s">
        <v>1659</v>
      </c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</v>
      </c>
      <c r="BR509" s="19">
        <f>IF(OR(B509="",F509=""),"*",AY509/P509)</f>
        <v>1.3333333333333339</v>
      </c>
      <c r="BS509" s="19">
        <f>IF(OR(B509="",F509=""),"*",BA509/Q509)</f>
        <v>0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1660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>
        <v>0</v>
      </c>
      <c r="AT510" s="237">
        <v>0</v>
      </c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77" t="s">
        <v>1661</v>
      </c>
      <c r="BK510" s="17" t="s">
        <v>1662</v>
      </c>
      <c r="BL510" s="16"/>
      <c r="BM510" s="15" t="s">
        <v>697</v>
      </c>
      <c r="BN510" s="15" t="s">
        <v>697</v>
      </c>
      <c r="BO510" s="165" t="s">
        <v>697</v>
      </c>
      <c r="BP510" s="18" t="s">
        <v>1662</v>
      </c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>SemOportunidadeSemOportunidade</v>
      </c>
    </row>
    <row r="511" spans="1:72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1663</v>
      </c>
      <c r="N512" s="204" t="s">
        <v>1664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1665</v>
      </c>
      <c r="W512" s="173" t="s">
        <v>1666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1667</v>
      </c>
      <c r="BK512" s="17" t="s">
        <v>1667</v>
      </c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1668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>
        <v>0.48333333333333334</v>
      </c>
      <c r="AS513" s="237">
        <v>0</v>
      </c>
      <c r="AT513" s="237">
        <v>4.1666666666666664E-2</v>
      </c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77" t="s">
        <v>1669</v>
      </c>
      <c r="BK513" s="17" t="s">
        <v>1670</v>
      </c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</v>
      </c>
      <c r="BR513" s="19">
        <f>IF(OR(B513="",F513=""),"*",AY513/P513)</f>
        <v>1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1671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>
        <v>0</v>
      </c>
      <c r="AS514" s="237">
        <v>0</v>
      </c>
      <c r="AT514" s="237">
        <v>0</v>
      </c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77" t="s">
        <v>994</v>
      </c>
      <c r="BK514" s="17" t="s">
        <v>1672</v>
      </c>
      <c r="BL514" s="16"/>
      <c r="BM514" s="15" t="s">
        <v>687</v>
      </c>
      <c r="BN514" s="15" t="s">
        <v>717</v>
      </c>
      <c r="BO514" s="165" t="s">
        <v>780</v>
      </c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>SuperExecução</v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1673</v>
      </c>
      <c r="W515" s="173" t="s">
        <v>1674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1675</v>
      </c>
      <c r="BK515" s="17" t="s">
        <v>1675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1675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1676</v>
      </c>
      <c r="BK516" s="17" t="s">
        <v>1676</v>
      </c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</v>
      </c>
      <c r="BR516" s="19">
        <f>IF(OR(B516="",F516=""),"*",AY516/P516)</f>
        <v>1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1677</v>
      </c>
      <c r="BK517" s="17" t="s">
        <v>1677</v>
      </c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</v>
      </c>
      <c r="BR517" s="19">
        <f>IF(OR(B517="",F517=""),"*",AY517/P517)</f>
        <v>1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1678</v>
      </c>
      <c r="BK518" s="277" t="s">
        <v>1678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1678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>
      <c r="A522" s="167" t="str">
        <f t="shared" si="54"/>
        <v>A7446014</v>
      </c>
      <c r="B522" s="168">
        <v>46014</v>
      </c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18" t="s">
        <v>667</v>
      </c>
      <c r="Y522" s="231"/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Produção e Intervalo</v>
      </c>
      <c r="BR522" s="19">
        <f>IF(OR(B522="",F522=""),"*",AY522/P522)</f>
        <v>0</v>
      </c>
      <c r="BS522" s="19">
        <f>IF(OR(B522="",F522=""),"*",BA522/Q522)</f>
        <v>0</v>
      </c>
      <c r="BT522" s="225" t="str">
        <f t="shared" si="53"/>
        <v/>
      </c>
    </row>
    <row r="523" spans="1:72">
      <c r="A523" s="167" t="str">
        <f t="shared" si="54"/>
        <v>ROGÉRIO (TP-730)46014</v>
      </c>
      <c r="B523" s="168">
        <v>46014</v>
      </c>
      <c r="C523" s="8"/>
      <c r="D523" s="52" t="s">
        <v>639</v>
      </c>
      <c r="E523" s="286">
        <v>518</v>
      </c>
      <c r="F523" s="172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9" t="s">
        <v>925</v>
      </c>
      <c r="W523" s="173" t="s">
        <v>1130</v>
      </c>
      <c r="X523" s="52" t="s">
        <v>667</v>
      </c>
      <c r="Y523" s="158"/>
      <c r="Z523" s="158"/>
      <c r="AA523" s="144" t="s">
        <v>317</v>
      </c>
      <c r="AB523" s="71" t="s">
        <v>317</v>
      </c>
      <c r="AC523" s="71"/>
      <c r="AD523" s="173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ZVK-ZDS</v>
      </c>
      <c r="AN523" s="273" t="str">
        <f>IF(BS_CONTROLE[[#This Row],[SB]]=0, "-", BS_CONTROLE[[#This Row],[SB]])</f>
        <v>ZVK2351</v>
      </c>
      <c r="AO523" s="254">
        <f>IF(BS_CONTROLE[[#This Row],[SUB]]=0, "-", BS_CONTROLE[[#This Row],[SUB]])</f>
        <v>49</v>
      </c>
      <c r="AP523" s="255">
        <f>IF(BS_CONTROLE[[#This Row],[KM - Inicio]]=0, "-", BS_CONTROLE[[#This Row],[KM - Inicio]])</f>
        <v>232.9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>
        <f>IF(D523="","*",IFERROR(IF(ISODD(COUNT(AS523:AX523)),"ERRO",SUM((AT523-AS523),(AV523-AU523),(AX523-AW523))),"ERRO"))</f>
        <v>0</v>
      </c>
      <c r="AZ523" s="14"/>
      <c r="BA523" s="72"/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56" t="str">
        <f>IF(BS_CONTROLE[[#This Row],[Responsavel pelo boletim]]=0, "-", BS_CONTROLE[[#This Row],[Responsavel pelo boletim]])</f>
        <v>Jonas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Produção e Intervalo</v>
      </c>
      <c r="BR523" s="19">
        <f>IF(OR(B523="",F523=""),"*",AY523/P523)</f>
        <v>0</v>
      </c>
      <c r="BS523" s="19">
        <f>IF(OR(B523="",F523=""),"*",BA523/Q523)</f>
        <v>0</v>
      </c>
      <c r="BT523" s="225"/>
    </row>
    <row r="524" spans="1:72">
      <c r="A524" s="167" t="str">
        <f t="shared" si="54"/>
        <v>W5946014</v>
      </c>
      <c r="B524" s="168">
        <v>46014</v>
      </c>
      <c r="C524" s="8"/>
      <c r="D524" s="52" t="s">
        <v>541</v>
      </c>
      <c r="E524" s="286">
        <v>443</v>
      </c>
      <c r="F524" s="172" t="s">
        <v>479</v>
      </c>
      <c r="G524" s="159" t="str">
        <f>IF(D524="","*",VLOOKUP(F524,BS_ATIVIDADE[#All],3,FALSE))</f>
        <v>DORMENTE - DESCARGA</v>
      </c>
      <c r="H524" s="173" t="s">
        <v>102</v>
      </c>
      <c r="I524" s="173" t="s">
        <v>102</v>
      </c>
      <c r="J524" s="38">
        <v>49</v>
      </c>
      <c r="K524" s="38">
        <v>232.9</v>
      </c>
      <c r="L524" s="84">
        <v>213</v>
      </c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100</v>
      </c>
      <c r="R524" s="10" t="str">
        <f>IFERROR(_xlfn.XLOOKUP(F524, BS_ATIVIDADE[ATIVIDADE],BS_ATIVIDADE[UNIDADE] ), "*")</f>
        <v>Nº DE DORMENTES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1" t="str">
        <f>IFERROR(_xlfn.XLOOKUP(J524, BASE_MAPA!$D$2:$D$260, BASE_MAPA!$I$2:$I$260), "ERRO")</f>
        <v>ZKE-ZGA</v>
      </c>
      <c r="V524" s="269" t="s">
        <v>925</v>
      </c>
      <c r="W524" s="173" t="s">
        <v>1679</v>
      </c>
      <c r="X524" s="52" t="s">
        <v>667</v>
      </c>
      <c r="Y524" s="158"/>
      <c r="Z524" s="158"/>
      <c r="AA524" s="217">
        <v>1</v>
      </c>
      <c r="AB524" s="71" t="s">
        <v>669</v>
      </c>
      <c r="AC524" s="71" t="s">
        <v>665</v>
      </c>
      <c r="AD524" s="308">
        <v>0.33333333333333331</v>
      </c>
      <c r="AE524" s="217">
        <v>9347</v>
      </c>
      <c r="AF524" s="217" t="s">
        <v>317</v>
      </c>
      <c r="AG524" s="217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73" t="str">
        <f>IF(BS_CONTROLE[[#This Row],[Local - Partida]]=0, "-", BS_CONTROLE[[#This Row],[Local - Partida]])</f>
        <v>ZYU1</v>
      </c>
      <c r="AL524" s="273" t="str">
        <f>IF(BS_CONTROLE[[#This Row],[Local - Encerramento]]=0, "-", BS_CONTROLE[[#This Row],[Local - Encerramento]])</f>
        <v>ZYU1</v>
      </c>
      <c r="AM524" s="273" t="str">
        <f>IF(BS_CONTROLE[[#This Row],[Entre - Estações]]=0, "-", BS_CONTROLE[[#This Row],[Entre - Estações]])</f>
        <v>ZVK-ZDS</v>
      </c>
      <c r="AN524" s="273" t="str">
        <f>IF(BS_CONTROLE[[#This Row],[SB]]=0, "-", BS_CONTROLE[[#This Row],[SB]])</f>
        <v>ZVK2351</v>
      </c>
      <c r="AO524" s="254">
        <f>IF(BS_CONTROLE[[#This Row],[SUB]]=0, "-", BS_CONTROLE[[#This Row],[SUB]])</f>
        <v>49</v>
      </c>
      <c r="AP524" s="255">
        <f>IF(BS_CONTROLE[[#This Row],[KM - Inicio]]=0, "-", BS_CONTROLE[[#This Row],[KM - Inicio]])</f>
        <v>232.9</v>
      </c>
      <c r="AQ524" s="255">
        <f>IF(BS_CONTROLE[[#This Row],[KM - Fim]]=0, "-", BS_CONTROLE[[#This Row],[KM - Fim]])</f>
        <v>213</v>
      </c>
      <c r="AR524" s="274"/>
      <c r="AS524" s="274"/>
      <c r="AT524" s="274"/>
      <c r="AU524" s="237"/>
      <c r="AV524" s="237"/>
      <c r="AW524" s="237"/>
      <c r="AX524" s="39"/>
      <c r="AY524" s="12">
        <f>IF(D524="","*",IFERROR(IF(ISODD(COUNT(AS524:AX524)),"ERRO",SUM((AT524-AS524),(AV524-AU524),(AX524-AW524))),"ERRO"))</f>
        <v>0</v>
      </c>
      <c r="AZ524" s="14"/>
      <c r="BA524" s="72"/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3" t="str">
        <f>IFERROR(_xlfn.XLOOKUP(AO524, BASE_MAPA!$D$2:$D$260, BASE_MAPA!$I$2:$I$260), "ERRO")</f>
        <v>ZKE-ZGA</v>
      </c>
      <c r="BF524" s="256" t="str">
        <f>IF(BS_CONTROLE[[#This Row],[Responsavel pelo boletim]]=0, "-", BS_CONTROLE[[#This Row],[Responsavel pelo boletim]])</f>
        <v>Jonas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Produção e Intervalo</v>
      </c>
      <c r="BR524" s="19">
        <f>IF(OR(B524="",F524=""),"*",AY524/P524)</f>
        <v>0</v>
      </c>
      <c r="BS524" s="19">
        <f>IF(OR(B524="",F524=""),"*",BA524/Q524)</f>
        <v>0</v>
      </c>
    </row>
    <row r="525" spans="1:72">
      <c r="A525" s="167" t="str">
        <f t="shared" si="54"/>
        <v>ROBSON (TF-701)46014</v>
      </c>
      <c r="B525" s="168">
        <v>46014</v>
      </c>
      <c r="C525" s="8"/>
      <c r="D525" s="52" t="s">
        <v>637</v>
      </c>
      <c r="E525" s="286">
        <v>519</v>
      </c>
      <c r="F525" s="172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1" t="str">
        <f>IFERROR(_xlfn.XLOOKUP(J525, BASE_MAPA!$D$2:$D$260, BASE_MAPA!$I$2:$I$260), "ERRO")</f>
        <v>ZKE-ZGA</v>
      </c>
      <c r="V525" s="269" t="s">
        <v>925</v>
      </c>
      <c r="W525" s="256" t="s">
        <v>936</v>
      </c>
      <c r="X525" s="52" t="s">
        <v>667</v>
      </c>
      <c r="Y525" s="158"/>
      <c r="Z525" s="158"/>
      <c r="AA525" s="144" t="s">
        <v>317</v>
      </c>
      <c r="AB525" s="71" t="s">
        <v>317</v>
      </c>
      <c r="AC525" s="71" t="s">
        <v>317</v>
      </c>
      <c r="AD525" s="173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ZYU</v>
      </c>
      <c r="AN525" s="273" t="str">
        <f>IF(BS_CONTROLE[[#This Row],[SB]]=0, "-", BS_CONTROLE[[#This Row],[SB]])</f>
        <v>ZYU1</v>
      </c>
      <c r="AO525" s="254">
        <f>IF(BS_CONTROLE[[#This Row],[SUB]]=0, "-", BS_CONTROLE[[#This Row],[SUB]])</f>
        <v>49</v>
      </c>
      <c r="AP525" s="255">
        <f>IF(BS_CONTROLE[[#This Row],[KM - Inicio]]=0, "-", BS_CONTROLE[[#This Row],[KM - Inicio]])</f>
        <v>202.4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>
        <f>IF(D525="","*",IFERROR(IF(ISODD(COUNT(AS525:AX525)),"ERRO",SUM((AT525-AS525),(AV525-AU525),(AX525-AW525))),"ERRO"))</f>
        <v>0</v>
      </c>
      <c r="AZ525" s="14"/>
      <c r="BA525" s="72"/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3" t="str">
        <f>IFERROR(_xlfn.XLOOKUP(AO525, BASE_MAPA!$D$2:$D$260, BASE_MAPA!$I$2:$I$260), "ERRO")</f>
        <v>ZKE-ZGA</v>
      </c>
      <c r="BF525" s="256" t="str">
        <f>IF(BS_CONTROLE[[#This Row],[Responsavel pelo boletim]]=0, "-", BS_CONTROLE[[#This Row],[Responsavel pelo boletim]])</f>
        <v>Jonas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Produção e Intervalo</v>
      </c>
      <c r="BR525" s="19">
        <f>IF(OR(B525="",F525=""),"*",AY525/P525)</f>
        <v>0</v>
      </c>
      <c r="BS525" s="19">
        <f>IF(OR(B525="",F525=""),"*",BA525/Q525)</f>
        <v>0</v>
      </c>
    </row>
    <row r="526" spans="1:72">
      <c r="A526" s="167" t="str">
        <f t="shared" si="54"/>
        <v>JOSÉ  (TF-521)46014</v>
      </c>
      <c r="B526" s="168">
        <v>46014</v>
      </c>
      <c r="C526" s="8"/>
      <c r="D526" s="52" t="s">
        <v>610</v>
      </c>
      <c r="E526" s="286">
        <v>363</v>
      </c>
      <c r="F526" s="172" t="s">
        <v>502</v>
      </c>
      <c r="G526" s="159" t="str">
        <f>IF(D526="","*",VLOOKUP(F526,BS_ATIVIDADE[#All],3,FALSE))</f>
        <v>DORMENTE - SUBSTITUIÇÂO</v>
      </c>
      <c r="H526" s="204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3" t="s">
        <v>317</v>
      </c>
      <c r="J526" s="217">
        <v>56</v>
      </c>
      <c r="K526" s="217">
        <v>168</v>
      </c>
      <c r="L526" s="84" t="s">
        <v>317</v>
      </c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3">
        <v>0.41666666666666669</v>
      </c>
      <c r="P526" s="173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1" t="str">
        <f>IFERROR(_xlfn.XLOOKUP(J526, BASE_MAPA!$D$2:$D$260, BASE_MAPA!$I$2:$I$260), "ERRO")</f>
        <v>ZGA</v>
      </c>
      <c r="V526" s="269" t="s">
        <v>925</v>
      </c>
      <c r="W526" s="256" t="s">
        <v>936</v>
      </c>
      <c r="X526" s="52" t="s">
        <v>667</v>
      </c>
      <c r="Y526" s="158"/>
      <c r="Z526" s="158"/>
      <c r="AA526" s="144" t="s">
        <v>317</v>
      </c>
      <c r="AB526" s="71" t="s">
        <v>317</v>
      </c>
      <c r="AC526" s="71"/>
      <c r="AD526" s="173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73" t="str">
        <f>IF(BS_CONTROLE[[#This Row],[Local - Partida]]=0, "-", BS_CONTROLE[[#This Row],[Local - Partida]])</f>
        <v>ZER169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ZER-170</v>
      </c>
      <c r="AN526" s="273" t="str">
        <f>IF(BS_CONTROLE[[#This Row],[SB]]=0, "-", BS_CONTROLE[[#This Row],[SB]])</f>
        <v>ZER169</v>
      </c>
      <c r="AO526" s="254">
        <f>IF(BS_CONTROLE[[#This Row],[SUB]]=0, "-", BS_CONTROLE[[#This Row],[SUB]])</f>
        <v>56</v>
      </c>
      <c r="AP526" s="255">
        <f>IF(BS_CONTROLE[[#This Row],[KM - Inicio]]=0, "-", BS_CONTROLE[[#This Row],[KM - Inicio]])</f>
        <v>168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>
        <f>IF(D526="","*",IFERROR(IF(ISODD(COUNT(AS526:AX526)),"ERRO",SUM((AT526-AS526),(AV526-AU526),(AX526-AW526))),"ERRO"))</f>
        <v>0</v>
      </c>
      <c r="AZ526" s="14"/>
      <c r="BA526" s="72"/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3" t="str">
        <f>IFERROR(_xlfn.XLOOKUP(AO526, BASE_MAPA!$D$2:$D$260, BASE_MAPA!$I$2:$I$260), "ERRO")</f>
        <v>ZGA</v>
      </c>
      <c r="BF526" s="256" t="str">
        <f>IF(BS_CONTROLE[[#This Row],[Responsavel pelo boletim]]=0, "-", BS_CONTROLE[[#This Row],[Responsavel pelo boletim]])</f>
        <v>Jonas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Produção e Intervalo</v>
      </c>
      <c r="BR526" s="19">
        <f>IF(OR(B526="",F526=""),"*",AY526/P526)</f>
        <v>0</v>
      </c>
      <c r="BS526" s="19">
        <f>IF(OR(B526="",F526=""),"*",BA526/Q526)</f>
        <v>0</v>
      </c>
    </row>
    <row r="527" spans="1:72">
      <c r="A527" s="167" t="str">
        <f t="shared" si="54"/>
        <v>E4246014</v>
      </c>
      <c r="B527" s="168">
        <v>46014</v>
      </c>
      <c r="C527" s="8"/>
      <c r="D527" s="52" t="s">
        <v>463</v>
      </c>
      <c r="E527" s="287">
        <v>521</v>
      </c>
      <c r="F527" s="172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1680</v>
      </c>
      <c r="J527" s="38">
        <v>55</v>
      </c>
      <c r="K527" s="38">
        <v>102</v>
      </c>
      <c r="L527" s="84">
        <v>103</v>
      </c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1" t="str">
        <f>IFERROR(_xlfn.XLOOKUP(J527, BASE_MAPA!$D$2:$D$260, BASE_MAPA!$I$2:$I$260), "ERRO")</f>
        <v>ZKE</v>
      </c>
      <c r="V527" s="269" t="s">
        <v>938</v>
      </c>
      <c r="W527" s="173" t="s">
        <v>1681</v>
      </c>
      <c r="X527" s="52" t="s">
        <v>667</v>
      </c>
      <c r="Y527" s="158"/>
      <c r="Z527" s="158"/>
      <c r="AA527" s="144">
        <v>2</v>
      </c>
      <c r="AB527" s="71" t="s">
        <v>669</v>
      </c>
      <c r="AC527" s="71" t="s">
        <v>665</v>
      </c>
      <c r="AD527" s="173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73" t="str">
        <f>IF(BS_CONTROLE[[#This Row],[Local - Partida]]=0, "-", BS_CONTROLE[[#This Row],[Local - Partida]])</f>
        <v>102ZKW2</v>
      </c>
      <c r="AL527" s="273" t="str">
        <f>IF(BS_CONTROLE[[#This Row],[Local - Encerramento]]=0, "-", BS_CONTROLE[[#This Row],[Local - Encerramento]])</f>
        <v>102ZKW</v>
      </c>
      <c r="AM527" s="273" t="str">
        <f>IF(BS_CONTROLE[[#This Row],[Entre - Estações]]=0, "-", BS_CONTROLE[[#This Row],[Entre - Estações]])</f>
        <v>ZKW</v>
      </c>
      <c r="AN527" s="273" t="str">
        <f>IF(BS_CONTROLE[[#This Row],[SB]]=0, "-", BS_CONTROLE[[#This Row],[SB]])</f>
        <v>102ZKW2</v>
      </c>
      <c r="AO527" s="254">
        <f>IF(BS_CONTROLE[[#This Row],[SUB]]=0, "-", BS_CONTROLE[[#This Row],[SUB]])</f>
        <v>55</v>
      </c>
      <c r="AP527" s="255">
        <f>IF(BS_CONTROLE[[#This Row],[KM - Inicio]]=0, "-", BS_CONTROLE[[#This Row],[KM - Inicio]])</f>
        <v>102</v>
      </c>
      <c r="AQ527" s="255">
        <f>IF(BS_CONTROLE[[#This Row],[KM - Fim]]=0, "-", BS_CONTROLE[[#This Row],[KM - Fim]])</f>
        <v>103</v>
      </c>
      <c r="AR527" s="274"/>
      <c r="AS527" s="274"/>
      <c r="AT527" s="274"/>
      <c r="AU527" s="237"/>
      <c r="AV527" s="237"/>
      <c r="AW527" s="237"/>
      <c r="AX527" s="39"/>
      <c r="AY527" s="12">
        <f>IF(D527="","*",IFERROR(IF(ISODD(COUNT(AS527:AX527)),"ERRO",SUM((AT527-AS527),(AV527-AU527),(AX527-AW527))),"ERRO"))</f>
        <v>0</v>
      </c>
      <c r="AZ527" s="14"/>
      <c r="BA527" s="72"/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3" t="str">
        <f>IFERROR(_xlfn.XLOOKUP(AO527, BASE_MAPA!$D$2:$D$260, BASE_MAPA!$I$2:$I$260), "ERRO")</f>
        <v>ZKE</v>
      </c>
      <c r="BF527" s="256" t="str">
        <f>IF(BS_CONTROLE[[#This Row],[Responsavel pelo boletim]]=0, "-", BS_CONTROLE[[#This Row],[Responsavel pelo boletim]])</f>
        <v>Felipe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Produção e Intervalo</v>
      </c>
      <c r="BR527" s="19">
        <f>IF(OR(B527="",F527=""),"*",AY527/P527)</f>
        <v>0</v>
      </c>
      <c r="BS527" s="19">
        <f>IF(OR(B527="",F527=""),"*",BA527/Q527)</f>
        <v>0</v>
      </c>
    </row>
    <row r="528" spans="1:72">
      <c r="A528" s="167" t="str">
        <f t="shared" si="54"/>
        <v>V8946014</v>
      </c>
      <c r="B528" s="168">
        <v>46014</v>
      </c>
      <c r="C528" s="8"/>
      <c r="D528" s="52" t="s">
        <v>522</v>
      </c>
      <c r="E528" s="286">
        <v>522</v>
      </c>
      <c r="F528" s="172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7">
        <v>135.19999999999999</v>
      </c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1" t="str">
        <f>IFERROR(_xlfn.XLOOKUP(J528, BASE_MAPA!$D$2:$D$260, BASE_MAPA!$I$2:$I$260), "ERRO")</f>
        <v>ZKE</v>
      </c>
      <c r="V528" s="269" t="s">
        <v>1682</v>
      </c>
      <c r="W528" s="256" t="s">
        <v>1098</v>
      </c>
      <c r="X528" s="52" t="s">
        <v>667</v>
      </c>
      <c r="Y528" s="158"/>
      <c r="Z528" s="158"/>
      <c r="AA528" s="217">
        <v>1</v>
      </c>
      <c r="AB528" s="71" t="s">
        <v>659</v>
      </c>
      <c r="AC528" s="71" t="s">
        <v>654</v>
      </c>
      <c r="AD528" s="308">
        <v>0.33333333333333331</v>
      </c>
      <c r="AE528" s="217">
        <v>6809</v>
      </c>
      <c r="AF528" s="217">
        <v>6239</v>
      </c>
      <c r="AG528" s="217" t="s">
        <v>317</v>
      </c>
      <c r="AH528" s="49"/>
      <c r="AI528" s="142" t="str">
        <f>IF(BS_CONTROLE[[#This Row],[Atividade]]=0, "-", BS_CONTROLE[[#This Row],[Atividade]])</f>
        <v>MECANIZAÇÃO - SOCADORA</v>
      </c>
      <c r="AJ528" s="9" t="str">
        <f>IF(D528="","*",VLOOKUP(AI528,BS_ATIVIDADE[#Data],3,FALSE))</f>
        <v>MECANIZAÇÃO - SOCADORA</v>
      </c>
      <c r="AK528" s="273" t="str">
        <f>IF(BS_CONTROLE[[#This Row],[Local - Partida]]=0, "-", BS_CONTROLE[[#This Row],[Local - Partida]])</f>
        <v>ZEM1302</v>
      </c>
      <c r="AL528" s="273" t="str">
        <f>IF(BS_CONTROLE[[#This Row],[Local - Encerramento]]=0, "-", BS_CONTROLE[[#This Row],[Local - Encerramento]])</f>
        <v>ZEM1302</v>
      </c>
      <c r="AM528" s="273" t="str">
        <f>IF(BS_CONTROLE[[#This Row],[Entre - Estações]]=0, "-", BS_CONTROLE[[#This Row],[Entre - Estações]])</f>
        <v>ZYQ-ZEM</v>
      </c>
      <c r="AN528" s="273" t="str">
        <f>IF(BS_CONTROLE[[#This Row],[SB]]=0, "-", BS_CONTROLE[[#This Row],[SB]])</f>
        <v>ZEM2</v>
      </c>
      <c r="AO528" s="254">
        <f>IF(BS_CONTROLE[[#This Row],[SUB]]=0, "-", BS_CONTROLE[[#This Row],[SUB]])</f>
        <v>55</v>
      </c>
      <c r="AP528" s="255">
        <f>IF(BS_CONTROLE[[#This Row],[KM - Inicio]]=0, "-", BS_CONTROLE[[#This Row],[KM - Inicio]])</f>
        <v>134.4</v>
      </c>
      <c r="AQ528" s="255">
        <f>IF(BS_CONTROLE[[#This Row],[KM - Fim]]=0, "-", BS_CONTROLE[[#This Row],[KM - Fim]])</f>
        <v>135.19999999999999</v>
      </c>
      <c r="AR528" s="274"/>
      <c r="AS528" s="274"/>
      <c r="AT528" s="274"/>
      <c r="AU528" s="237"/>
      <c r="AV528" s="237"/>
      <c r="AW528" s="237"/>
      <c r="AX528" s="39"/>
      <c r="AY528" s="12">
        <f>IF(D528="","*",IFERROR(IF(ISODD(COUNT(AS528:AX528)),"ERRO",SUM((AT528-AS528),(AV528-AU528),(AX528-AW528))),"ERRO"))</f>
        <v>0</v>
      </c>
      <c r="AZ528" s="14"/>
      <c r="BA528" s="72"/>
      <c r="BB528" s="10" t="str">
        <f>IFERROR(_xlfn.XLOOKUP(AI528, BS_ATIVIDADE[ATIVIDADE],BS_ATIVIDADE[UNIDADE] ), "*")</f>
        <v>M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3" t="str">
        <f>IFERROR(_xlfn.XLOOKUP(AO528, BASE_MAPA!$D$2:$D$260, BASE_MAPA!$I$2:$I$260), "ERRO")</f>
        <v>ZKE</v>
      </c>
      <c r="BF528" s="256" t="str">
        <f>IF(BS_CONTROLE[[#This Row],[Responsavel pelo boletim]]=0, "-", BS_CONTROLE[[#This Row],[Responsavel pelo boletim]])</f>
        <v>Antonioni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Produção e Intervalo</v>
      </c>
      <c r="BR528" s="19">
        <f>IF(OR(B528="",F528=""),"*",AY528/P528)</f>
        <v>0</v>
      </c>
      <c r="BS528" s="19">
        <f>IF(OR(B528="",F528=""),"*",BA528/Q528)</f>
        <v>0</v>
      </c>
    </row>
    <row r="529" spans="1:71">
      <c r="A529" s="167" t="str">
        <f t="shared" si="54"/>
        <v>DIEGO (TP-681)46014</v>
      </c>
      <c r="B529" s="168">
        <v>46014</v>
      </c>
      <c r="C529" s="8"/>
      <c r="D529" s="52" t="s">
        <v>584</v>
      </c>
      <c r="E529" s="286">
        <v>523</v>
      </c>
      <c r="F529" s="172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1" t="str">
        <f>IFERROR(_xlfn.XLOOKUP(J529, BASE_MAPA!$D$2:$D$260, BASE_MAPA!$I$2:$I$260), "ERRO")</f>
        <v>ZKE</v>
      </c>
      <c r="V529" s="269" t="s">
        <v>938</v>
      </c>
      <c r="W529" s="256" t="s">
        <v>936</v>
      </c>
      <c r="X529" s="52" t="s">
        <v>667</v>
      </c>
      <c r="Y529" s="158"/>
      <c r="Z529" s="158"/>
      <c r="AA529" s="144" t="s">
        <v>317</v>
      </c>
      <c r="AB529" s="71" t="s">
        <v>317</v>
      </c>
      <c r="AC529" s="71"/>
      <c r="AD529" s="173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ZEM-ZEJ</v>
      </c>
      <c r="AN529" s="273" t="str">
        <f>IF(BS_CONTROLE[[#This Row],[SB]]=0, "-", BS_CONTROLE[[#This Row],[SB]])</f>
        <v>144ZMS2</v>
      </c>
      <c r="AO529" s="254">
        <f>IF(BS_CONTROLE[[#This Row],[SUB]]=0, "-", BS_CONTROLE[[#This Row],[SUB]])</f>
        <v>55</v>
      </c>
      <c r="AP529" s="255">
        <f>IF(BS_CONTROLE[[#This Row],[KM - Inicio]]=0, "-", BS_CONTROLE[[#This Row],[KM - Inicio]])</f>
        <v>143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>
        <f>IF(D529="","*",IFERROR(IF(ISODD(COUNT(AS529:AX529)),"ERRO",SUM((AT529-AS529),(AV529-AU529),(AX529-AW529))),"ERRO"))</f>
        <v>0</v>
      </c>
      <c r="AZ529" s="14"/>
      <c r="BA529" s="72"/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3" t="str">
        <f>IFERROR(_xlfn.XLOOKUP(AO529, BASE_MAPA!$D$2:$D$260, BASE_MAPA!$I$2:$I$260), "ERRO")</f>
        <v>ZKE</v>
      </c>
      <c r="BF529" s="256" t="str">
        <f>IF(BS_CONTROLE[[#This Row],[Responsavel pelo boletim]]=0, "-", BS_CONTROLE[[#This Row],[Responsavel pelo boletim]])</f>
        <v>Felipe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Produção e Intervalo</v>
      </c>
      <c r="BR529" s="19">
        <f>IF(OR(B529="",F529=""),"*",AY529/P529)</f>
        <v>0</v>
      </c>
      <c r="BS529" s="19">
        <f>IF(OR(B529="",F529=""),"*",BA529/Q529)</f>
        <v>0</v>
      </c>
    </row>
    <row r="530" spans="1:71">
      <c r="A530" s="167" t="str">
        <f t="shared" si="54"/>
        <v>W6046014</v>
      </c>
      <c r="B530" s="168">
        <v>46014</v>
      </c>
      <c r="C530" s="8"/>
      <c r="D530" s="52" t="s">
        <v>542</v>
      </c>
      <c r="E530" s="286">
        <v>504</v>
      </c>
      <c r="F530" s="172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1" t="str">
        <f>IFERROR(_xlfn.XLOOKUP(J530, BASE_MAPA!$D$2:$D$260, BASE_MAPA!$I$2:$I$260), "ERRO")</f>
        <v>ZKE</v>
      </c>
      <c r="V530" s="269" t="s">
        <v>938</v>
      </c>
      <c r="W530" s="173" t="s">
        <v>1660</v>
      </c>
      <c r="X530" s="52" t="s">
        <v>667</v>
      </c>
      <c r="Y530" s="158"/>
      <c r="Z530" s="158"/>
      <c r="AA530" s="84" t="s">
        <v>1448</v>
      </c>
      <c r="AB530" s="71" t="s">
        <v>659</v>
      </c>
      <c r="AC530" s="71" t="s">
        <v>654</v>
      </c>
      <c r="AD530" s="173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73" t="str">
        <f>IF(BS_CONTROLE[[#This Row],[Local - Partida]]=0, "-", BS_CONTROLE[[#This Row],[Local - Partida]])</f>
        <v>ZEM1302</v>
      </c>
      <c r="AL530" s="273" t="str">
        <f>IF(BS_CONTROLE[[#This Row],[Local - Encerramento]]=0, "-", BS_CONTROLE[[#This Row],[Local - Encerramento]])</f>
        <v>ZEM1302</v>
      </c>
      <c r="AM530" s="273" t="str">
        <f>IF(BS_CONTROLE[[#This Row],[Entre - Estações]]=0, "-", BS_CONTROLE[[#This Row],[Entre - Estações]])</f>
        <v>ZEJ-ZEV</v>
      </c>
      <c r="AN530" s="273" t="str">
        <f>IF(BS_CONTROLE[[#This Row],[SB]]=0, "-", BS_CONTROLE[[#This Row],[SB]])</f>
        <v>ZRB1502</v>
      </c>
      <c r="AO530" s="254">
        <f>IF(BS_CONTROLE[[#This Row],[SUB]]=0, "-", BS_CONTROLE[[#This Row],[SUB]])</f>
        <v>55</v>
      </c>
      <c r="AP530" s="255">
        <f>IF(BS_CONTROLE[[#This Row],[KM - Inicio]]=0, "-", BS_CONTROLE[[#This Row],[KM - Inicio]])</f>
        <v>151.6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>
        <f>IF(D530="","*",IFERROR(IF(ISODD(COUNT(AS530:AX530)),"ERRO",SUM((AT530-AS530),(AV530-AU530),(AX530-AW530))),"ERRO"))</f>
        <v>0</v>
      </c>
      <c r="AZ530" s="14"/>
      <c r="BA530" s="72"/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3" t="str">
        <f>IFERROR(_xlfn.XLOOKUP(AO530, BASE_MAPA!$D$2:$D$260, BASE_MAPA!$I$2:$I$260), "ERRO")</f>
        <v>ZKE</v>
      </c>
      <c r="BF530" s="256" t="str">
        <f>IF(BS_CONTROLE[[#This Row],[Responsavel pelo boletim]]=0, "-", BS_CONTROLE[[#This Row],[Responsavel pelo boletim]])</f>
        <v>Felipe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Produção e Intervalo</v>
      </c>
      <c r="BR530" s="19">
        <f>IF(OR(B530="",F530=""),"*",AY530/P530)</f>
        <v>0</v>
      </c>
      <c r="BS530" s="19">
        <f>IF(OR(B530="",F530=""),"*",BA530/Q530)</f>
        <v>0</v>
      </c>
    </row>
    <row r="531" spans="1:7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>DANILO (TP-837)46014</v>
      </c>
      <c r="B533" s="168">
        <v>46014</v>
      </c>
      <c r="C533" s="8"/>
      <c r="D533" s="52" t="s">
        <v>580</v>
      </c>
      <c r="E533" s="286">
        <v>527</v>
      </c>
      <c r="F533" s="172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1" t="str">
        <f>IFERROR(_xlfn.XLOOKUP(J533, BASE_MAPA!$D$2:$D$260, BASE_MAPA!$I$2:$I$260), "ERRO")</f>
        <v>ZKE</v>
      </c>
      <c r="V533" s="269" t="s">
        <v>1452</v>
      </c>
      <c r="W533" s="173" t="s">
        <v>1112</v>
      </c>
      <c r="X533" s="52" t="s">
        <v>667</v>
      </c>
      <c r="Y533" s="158"/>
      <c r="Z533" s="158"/>
      <c r="AA533" s="144" t="s">
        <v>317</v>
      </c>
      <c r="AB533" s="71" t="s">
        <v>317</v>
      </c>
      <c r="AC533" s="71" t="s">
        <v>317</v>
      </c>
      <c r="AD533" s="173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ZLU-ZWI</v>
      </c>
      <c r="AN533" s="273" t="str">
        <f>IF(BS_CONTROLE[[#This Row],[SB]]=0, "-", BS_CONTROLE[[#This Row],[SB]])</f>
        <v>ZWI2</v>
      </c>
      <c r="AO533" s="254">
        <f>IF(BS_CONTROLE[[#This Row],[SUB]]=0, "-", BS_CONTROLE[[#This Row],[SUB]])</f>
        <v>55</v>
      </c>
      <c r="AP533" s="255">
        <f>IF(BS_CONTROLE[[#This Row],[KM - Inicio]]=0, "-", BS_CONTROLE[[#This Row],[KM - Inicio]])</f>
        <v>118.61799999999999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>
        <f>IF(D533="","*",IFERROR(IF(ISODD(COUNT(AS533:AX533)),"ERRO",SUM((AT533-AS533),(AV533-AU533),(AX533-AW533))),"ERRO"))</f>
        <v>0</v>
      </c>
      <c r="AZ533" s="14"/>
      <c r="BA533" s="72"/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3" t="str">
        <f>IFERROR(_xlfn.XLOOKUP(AO533, BASE_MAPA!$D$2:$D$260, BASE_MAPA!$I$2:$I$260), "ERRO")</f>
        <v>ZKE</v>
      </c>
      <c r="BF533" s="256" t="str">
        <f>IF(BS_CONTROLE[[#This Row],[Responsavel pelo boletim]]=0, "-", BS_CONTROLE[[#This Row],[Responsavel pelo boletim]])</f>
        <v>Alisson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Produção e Intervalo</v>
      </c>
      <c r="BR533" s="19">
        <f>IF(OR(B533="",F533=""),"*",AY533/P533)</f>
        <v>0</v>
      </c>
      <c r="BS533" s="19">
        <f>IF(OR(B533="",F533=""),"*",BA533/Q533)</f>
        <v>0</v>
      </c>
    </row>
    <row r="534" spans="1:71">
      <c r="A534" s="167" t="str">
        <f t="shared" si="54"/>
        <v>WALTER (TP-810)46014</v>
      </c>
      <c r="B534" s="168">
        <v>46014</v>
      </c>
      <c r="C534" s="8"/>
      <c r="D534" s="52" t="s">
        <v>648</v>
      </c>
      <c r="E534" s="286">
        <v>528</v>
      </c>
      <c r="F534" s="172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1" t="str">
        <f>IFERROR(_xlfn.XLOOKUP(J534, BASE_MAPA!$D$2:$D$260, BASE_MAPA!$I$2:$I$260), "ERRO")</f>
        <v>ZKE</v>
      </c>
      <c r="V534" s="269" t="s">
        <v>1452</v>
      </c>
      <c r="W534" s="173" t="s">
        <v>1112</v>
      </c>
      <c r="X534" s="52" t="s">
        <v>667</v>
      </c>
      <c r="Y534" s="158"/>
      <c r="Z534" s="158"/>
      <c r="AA534" s="144" t="s">
        <v>317</v>
      </c>
      <c r="AB534" s="71" t="s">
        <v>317</v>
      </c>
      <c r="AC534" s="71"/>
      <c r="AD534" s="173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ZWI-ZYQ</v>
      </c>
      <c r="AN534" s="273" t="str">
        <f>IF(BS_CONTROLE[[#This Row],[SB]]=0, "-", BS_CONTROLE[[#This Row],[SB]])</f>
        <v>121ZWI2</v>
      </c>
      <c r="AO534" s="254">
        <f>IF(BS_CONTROLE[[#This Row],[SUB]]=0, "-", BS_CONTROLE[[#This Row],[SUB]])</f>
        <v>55</v>
      </c>
      <c r="AP534" s="255">
        <f>IF(BS_CONTROLE[[#This Row],[KM - Inicio]]=0, "-", BS_CONTROLE[[#This Row],[KM - Inicio]])</f>
        <v>120.521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>
        <f>IF(D534="","*",IFERROR(IF(ISODD(COUNT(AS534:AX534)),"ERRO",SUM((AT534-AS534),(AV534-AU534),(AX534-AW534))),"ERRO"))</f>
        <v>0</v>
      </c>
      <c r="AZ534" s="14"/>
      <c r="BA534" s="72"/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3" t="str">
        <f>IFERROR(_xlfn.XLOOKUP(AO534, BASE_MAPA!$D$2:$D$260, BASE_MAPA!$I$2:$I$260), "ERRO")</f>
        <v>ZKE</v>
      </c>
      <c r="BF534" s="256" t="str">
        <f>IF(BS_CONTROLE[[#This Row],[Responsavel pelo boletim]]=0, "-", BS_CONTROLE[[#This Row],[Responsavel pelo boletim]])</f>
        <v>Alisson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Produção e Intervalo</v>
      </c>
      <c r="BR534" s="19">
        <f>IF(OR(B534="",F534=""),"*",AY534/P534)</f>
        <v>0</v>
      </c>
      <c r="BS534" s="19">
        <f>IF(OR(B534="",F534=""),"*",BA534/Q534)</f>
        <v>0</v>
      </c>
    </row>
    <row r="535" spans="1:71">
      <c r="A535" s="167" t="str">
        <f t="shared" si="54"/>
        <v>CAIQUE (TP-869)46014</v>
      </c>
      <c r="B535" s="168">
        <v>46014</v>
      </c>
      <c r="C535" s="8"/>
      <c r="D535" s="52" t="s">
        <v>573</v>
      </c>
      <c r="E535" s="286">
        <v>502</v>
      </c>
      <c r="F535" s="172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4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1" t="str">
        <f>IFERROR(_xlfn.XLOOKUP(J535, BASE_MAPA!$D$2:$D$260, BASE_MAPA!$I$2:$I$260), "ERRO")</f>
        <v>ZKE</v>
      </c>
      <c r="V535" s="269" t="s">
        <v>1452</v>
      </c>
      <c r="W535" s="173" t="s">
        <v>1112</v>
      </c>
      <c r="X535" s="52" t="s">
        <v>667</v>
      </c>
      <c r="Y535" s="158"/>
      <c r="Z535" s="158"/>
      <c r="AA535" s="144" t="s">
        <v>317</v>
      </c>
      <c r="AB535" s="71" t="s">
        <v>317</v>
      </c>
      <c r="AC535" s="71" t="s">
        <v>317</v>
      </c>
      <c r="AD535" s="173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ZWI-ZYQ</v>
      </c>
      <c r="AN535" s="273">
        <f>IF(BS_CONTROLE[[#This Row],[SB]]=0, "-", BS_CONTROLE[[#This Row],[SB]])</f>
        <v>1231212</v>
      </c>
      <c r="AO535" s="254">
        <f>IF(BS_CONTROLE[[#This Row],[SUB]]=0, "-", BS_CONTROLE[[#This Row],[SUB]])</f>
        <v>55</v>
      </c>
      <c r="AP535" s="255">
        <f>IF(BS_CONTROLE[[#This Row],[KM - Inicio]]=0, "-", BS_CONTROLE[[#This Row],[KM - Inicio]])</f>
        <v>121.70699999999999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>
        <f>IF(D535="","*",IFERROR(IF(ISODD(COUNT(AS535:AX535)),"ERRO",SUM((AT535-AS535),(AV535-AU535),(AX535-AW535))),"ERRO"))</f>
        <v>0</v>
      </c>
      <c r="AZ535" s="14"/>
      <c r="BA535" s="72"/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3" t="str">
        <f>IFERROR(_xlfn.XLOOKUP(AO535, BASE_MAPA!$D$2:$D$260, BASE_MAPA!$I$2:$I$260), "ERRO")</f>
        <v>ZKE</v>
      </c>
      <c r="BF535" s="256" t="str">
        <f>IF(BS_CONTROLE[[#This Row],[Responsavel pelo boletim]]=0, "-", BS_CONTROLE[[#This Row],[Responsavel pelo boletim]])</f>
        <v>Alisson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Produção e Intervalo</v>
      </c>
      <c r="BR535" s="19">
        <f>IF(OR(B535="",F535=""),"*",AY535/P535)</f>
        <v>0</v>
      </c>
      <c r="BS535" s="19">
        <f>IF(OR(B535="",F535=""),"*",BA535/Q535)</f>
        <v>0</v>
      </c>
    </row>
    <row r="536" spans="1:7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>V9846014</v>
      </c>
      <c r="B537" s="168">
        <v>46014</v>
      </c>
      <c r="C537" s="8"/>
      <c r="D537" s="52" t="s">
        <v>1378</v>
      </c>
      <c r="E537" s="286">
        <v>506</v>
      </c>
      <c r="F537" s="172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4" t="s">
        <v>1683</v>
      </c>
      <c r="N537" s="204" t="s">
        <v>1684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1" t="str">
        <f>IFERROR(_xlfn.XLOOKUP(J537, BASE_MAPA!$D$2:$D$260, BASE_MAPA!$I$2:$I$260), "ERRO")</f>
        <v>069-ZEV</v>
      </c>
      <c r="V537" s="269" t="s">
        <v>1665</v>
      </c>
      <c r="W537" s="173" t="s">
        <v>1666</v>
      </c>
      <c r="X537" s="52" t="s">
        <v>667</v>
      </c>
      <c r="Y537" s="158"/>
      <c r="Z537" s="158"/>
      <c r="AA537" s="144">
        <v>1</v>
      </c>
      <c r="AB537" s="71" t="s">
        <v>659</v>
      </c>
      <c r="AC537" s="71" t="s">
        <v>654</v>
      </c>
      <c r="AD537" s="173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73" t="str">
        <f>IF(BS_CONTROLE[[#This Row],[Local - Partida]]=0, "-", BS_CONTROLE[[#This Row],[Local - Partida]])</f>
        <v>ZEV2</v>
      </c>
      <c r="AL537" s="273" t="str">
        <f>IF(BS_CONTROLE[[#This Row],[Local - Encerramento]]=0, "-", BS_CONTROLE[[#This Row],[Local - Encerramento]])</f>
        <v>ZPG</v>
      </c>
      <c r="AM537" s="273" t="str">
        <f>IF(BS_CONTROLE[[#This Row],[Entre - Estações]]=0, "-", BS_CONTROLE[[#This Row],[Entre - Estações]])</f>
        <v>ZEV-ZPG</v>
      </c>
      <c r="AN537" s="273" t="str">
        <f>IF(BS_CONTROLE[[#This Row],[SB]]=0, "-", BS_CONTROLE[[#This Row],[SB]])</f>
        <v>ZEVZPG</v>
      </c>
      <c r="AO537" s="254">
        <f>IF(BS_CONTROLE[[#This Row],[SUB]]=0, "-", BS_CONTROLE[[#This Row],[SUB]])</f>
        <v>92</v>
      </c>
      <c r="AP537" s="255">
        <f>IF(BS_CONTROLE[[#This Row],[KM - Inicio]]=0, "-", BS_CONTROLE[[#This Row],[KM - Inicio]])</f>
        <v>66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>
        <f>IF(D537="","*",IFERROR(IF(ISODD(COUNT(AS537:AX537)),"ERRO",SUM((AT537-AS537),(AV537-AU537),(AX537-AW537))),"ERRO"))</f>
        <v>0</v>
      </c>
      <c r="AZ537" s="14"/>
      <c r="BA537" s="72"/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3" t="str">
        <f>IFERROR(_xlfn.XLOOKUP(AO537, BASE_MAPA!$D$2:$D$260, BASE_MAPA!$I$2:$I$260), "ERRO")</f>
        <v>069-ZEV</v>
      </c>
      <c r="BF537" s="256" t="str">
        <f>IF(BS_CONTROLE[[#This Row],[Responsavel pelo boletim]]=0, "-", BS_CONTROLE[[#This Row],[Responsavel pelo boletim]])</f>
        <v>Andresa / John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Produção e Intervalo</v>
      </c>
      <c r="BR537" s="19">
        <f>IF(OR(B537="",F537=""),"*",AY537/P537)</f>
        <v>0</v>
      </c>
      <c r="BS537" s="19">
        <f>IF(OR(B537="",F537=""),"*",BA537/Q537)</f>
        <v>0</v>
      </c>
    </row>
    <row r="538" spans="1:71">
      <c r="A538" s="167" t="str">
        <f t="shared" si="54"/>
        <v>W6146014</v>
      </c>
      <c r="B538" s="168">
        <v>46014</v>
      </c>
      <c r="C538" s="8"/>
      <c r="D538" s="52" t="s">
        <v>543</v>
      </c>
      <c r="E538" s="286">
        <v>532</v>
      </c>
      <c r="F538" s="172" t="s">
        <v>331</v>
      </c>
      <c r="G538" s="159" t="str">
        <f>IF(D538="","*",VLOOKUP(F538,BS_ATIVIDADE[#All],3,FALSE))</f>
        <v>OUTROS</v>
      </c>
      <c r="H538" s="173" t="s">
        <v>143</v>
      </c>
      <c r="I538" s="173" t="s">
        <v>143</v>
      </c>
      <c r="J538" s="217">
        <v>92</v>
      </c>
      <c r="K538" s="217">
        <v>83.7</v>
      </c>
      <c r="L538" s="217" t="s">
        <v>317</v>
      </c>
      <c r="M538" s="204" t="s">
        <v>962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3">
        <v>0.3125</v>
      </c>
      <c r="P538" s="173">
        <v>4.1666666666666664E-2</v>
      </c>
      <c r="Q538" s="217">
        <v>1</v>
      </c>
      <c r="R538" s="10" t="str">
        <f>IFERROR(_xlfn.XLOOKUP(F538, BS_ATIVIDADE[ATIVIDADE],BS_ATIVIDADE[UNIDADE] ), "*")</f>
        <v>BINÁRIO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1" t="str">
        <f>IFERROR(_xlfn.XLOOKUP(J538, BASE_MAPA!$D$2:$D$260, BASE_MAPA!$I$2:$I$260), "ERRO")</f>
        <v>069-ZEV</v>
      </c>
      <c r="V538" s="198" t="s">
        <v>963</v>
      </c>
      <c r="W538" s="256" t="s">
        <v>1126</v>
      </c>
      <c r="X538" s="52" t="s">
        <v>667</v>
      </c>
      <c r="Y538" s="158"/>
      <c r="Z538" s="158"/>
      <c r="AA538" s="84">
        <v>1</v>
      </c>
      <c r="AB538" s="71" t="s">
        <v>659</v>
      </c>
      <c r="AC538" s="71" t="s">
        <v>654</v>
      </c>
      <c r="AD538" s="173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73" t="str">
        <f>IF(BS_CONTROLE[[#This Row],[Local - Partida]]=0, "-", BS_CONTROLE[[#This Row],[Local - Partida]])</f>
        <v>K67ZEV1</v>
      </c>
      <c r="AL538" s="273" t="str">
        <f>IF(BS_CONTROLE[[#This Row],[Local - Encerramento]]=0, "-", BS_CONTROLE[[#This Row],[Local - Encerramento]])</f>
        <v>K67ZEV1</v>
      </c>
      <c r="AM538" s="273" t="str">
        <f>IF(BS_CONTROLE[[#This Row],[Entre - Estações]]=0, "-", BS_CONTROLE[[#This Row],[Entre - Estações]])</f>
        <v>ZEV-ZXW</v>
      </c>
      <c r="AN538" s="273" t="str">
        <f>IF(BS_CONTROLE[[#This Row],[SB]]=0, "-", BS_CONTROLE[[#This Row],[SB]])</f>
        <v>K84ZXW2</v>
      </c>
      <c r="AO538" s="254">
        <f>IF(BS_CONTROLE[[#This Row],[SUB]]=0, "-", BS_CONTROLE[[#This Row],[SUB]])</f>
        <v>92</v>
      </c>
      <c r="AP538" s="255">
        <f>IF(BS_CONTROLE[[#This Row],[KM - Inicio]]=0, "-", BS_CONTROLE[[#This Row],[KM - Inicio]])</f>
        <v>83.7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>
        <f>IF(D538="","*",IFERROR(IF(ISODD(COUNT(AS538:AX538)),"ERRO",SUM((AT538-AS538),(AV538-AU538),(AX538-AW538))),"ERRO"))</f>
        <v>0</v>
      </c>
      <c r="AZ538" s="14"/>
      <c r="BA538" s="72"/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3" t="str">
        <f>IFERROR(_xlfn.XLOOKUP(AO538, BASE_MAPA!$D$2:$D$260, BASE_MAPA!$I$2:$I$260), "ERRO")</f>
        <v>069-ZEV</v>
      </c>
      <c r="BF538" s="256" t="str">
        <f>IF(BS_CONTROLE[[#This Row],[Responsavel pelo boletim]]=0, "-", BS_CONTROLE[[#This Row],[Responsavel pelo boletim]])</f>
        <v>Moisés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Produção e Intervalo</v>
      </c>
      <c r="BR538" s="19">
        <f>IF(OR(B538="",F538=""),"*",AY538/P538)</f>
        <v>0</v>
      </c>
      <c r="BS538" s="19">
        <f>IF(OR(B538="",F538=""),"*",BA538/Q538)</f>
        <v>0</v>
      </c>
    </row>
    <row r="539" spans="1:71">
      <c r="A539" s="167" t="str">
        <f t="shared" si="54"/>
        <v>ANTONI  (TP-720)46014</v>
      </c>
      <c r="B539" s="168">
        <v>46014</v>
      </c>
      <c r="C539" s="8"/>
      <c r="D539" s="52" t="s">
        <v>568</v>
      </c>
      <c r="E539" s="306">
        <v>91</v>
      </c>
      <c r="F539" s="172" t="s">
        <v>502</v>
      </c>
      <c r="G539" s="159" t="str">
        <f>IF(D539="","*",VLOOKUP(F539,BS_ATIVIDADE[#All],3,FALSE))</f>
        <v>DORMENTE - SUBSTITUIÇÂO</v>
      </c>
      <c r="H539" s="204" t="s">
        <v>317</v>
      </c>
      <c r="I539" s="143"/>
      <c r="J539" s="38">
        <v>92</v>
      </c>
      <c r="K539" s="38">
        <v>83.3</v>
      </c>
      <c r="L539" s="84" t="s">
        <v>317</v>
      </c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1" t="str">
        <f>IFERROR(_xlfn.XLOOKUP(J539, BASE_MAPA!$D$2:$D$260, BASE_MAPA!$I$2:$I$260), "ERRO")</f>
        <v>069-ZEV</v>
      </c>
      <c r="V539" s="269" t="s">
        <v>1673</v>
      </c>
      <c r="W539" s="173" t="s">
        <v>1674</v>
      </c>
      <c r="X539" s="52" t="s">
        <v>667</v>
      </c>
      <c r="Y539" s="158"/>
      <c r="Z539" s="158"/>
      <c r="AA539" s="144" t="s">
        <v>317</v>
      </c>
      <c r="AB539" s="71" t="s">
        <v>317</v>
      </c>
      <c r="AC539" s="71" t="s">
        <v>317</v>
      </c>
      <c r="AD539" s="173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ZXW</v>
      </c>
      <c r="AN539" s="273" t="str">
        <f>IF(BS_CONTROLE[[#This Row],[SB]]=0, "-", BS_CONTROLE[[#This Row],[SB]])</f>
        <v>K84ZXW2</v>
      </c>
      <c r="AO539" s="254">
        <f>IF(BS_CONTROLE[[#This Row],[SUB]]=0, "-", BS_CONTROLE[[#This Row],[SUB]])</f>
        <v>92</v>
      </c>
      <c r="AP539" s="255">
        <f>IF(BS_CONTROLE[[#This Row],[KM - Inicio]]=0, "-", BS_CONTROLE[[#This Row],[KM - Inicio]])</f>
        <v>83.3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>
        <f>IF(D539="","*",IFERROR(IF(ISODD(COUNT(AS539:AX539)),"ERRO",SUM((AT539-AS539),(AV539-AU539),(AX539-AW539))),"ERRO"))</f>
        <v>0</v>
      </c>
      <c r="AZ539" s="14"/>
      <c r="BA539" s="72"/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3" t="str">
        <f>IFERROR(_xlfn.XLOOKUP(AO539, BASE_MAPA!$D$2:$D$260, BASE_MAPA!$I$2:$I$260), "ERRO")</f>
        <v>069-ZEV</v>
      </c>
      <c r="BF539" s="256" t="str">
        <f>IF(BS_CONTROLE[[#This Row],[Responsavel pelo boletim]]=0, "-", BS_CONTROLE[[#This Row],[Responsavel pelo boletim]])</f>
        <v>Antoni / Moisés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Produção e Intervalo</v>
      </c>
      <c r="BR539" s="19">
        <f>IF(OR(B539="",F539=""),"*",AY539/P539)</f>
        <v>0</v>
      </c>
      <c r="BS539" s="19">
        <f>IF(OR(B539="",F539=""),"*",BA539/Q539)</f>
        <v>0</v>
      </c>
    </row>
    <row r="540" spans="1:71">
      <c r="A540" s="167" t="str">
        <f t="shared" si="54"/>
        <v>W6246014</v>
      </c>
      <c r="B540" s="168">
        <v>46014</v>
      </c>
      <c r="C540" s="8"/>
      <c r="D540" s="52" t="s">
        <v>544</v>
      </c>
      <c r="E540" s="286">
        <v>476</v>
      </c>
      <c r="F540" s="172" t="s">
        <v>331</v>
      </c>
      <c r="G540" s="159" t="str">
        <f>IF(D540="","*",VLOOKUP(F540,BS_ATIVIDADE[#All],3,FALSE))</f>
        <v>OUTROS</v>
      </c>
      <c r="H540" s="173" t="s">
        <v>178</v>
      </c>
      <c r="I540" s="173" t="s">
        <v>956</v>
      </c>
      <c r="J540" s="217">
        <v>54</v>
      </c>
      <c r="K540" s="217">
        <v>83.7</v>
      </c>
      <c r="L540" s="217" t="s">
        <v>317</v>
      </c>
      <c r="M540" s="204" t="s">
        <v>981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3">
        <v>0.3125</v>
      </c>
      <c r="P540" s="173">
        <v>4.1666666666666664E-2</v>
      </c>
      <c r="Q540" s="217">
        <v>1</v>
      </c>
      <c r="R540" s="10" t="str">
        <f>IFERROR(_xlfn.XLOOKUP(F540, BS_ATIVIDADE[ATIVIDADE],BS_ATIVIDADE[UNIDADE] ), "*")</f>
        <v>BINÁRIO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1" t="str">
        <f>IFERROR(_xlfn.XLOOKUP(J540, BASE_MAPA!$D$2:$D$260, BASE_MAPA!$I$2:$I$260), "ERRO")</f>
        <v>ZEV</v>
      </c>
      <c r="V540" s="198" t="s">
        <v>963</v>
      </c>
      <c r="W540" s="256" t="s">
        <v>1126</v>
      </c>
      <c r="X540" s="52" t="s">
        <v>667</v>
      </c>
      <c r="Y540" s="158"/>
      <c r="Z540" s="158"/>
      <c r="AA540" s="217">
        <v>1</v>
      </c>
      <c r="AB540" s="172" t="s">
        <v>659</v>
      </c>
      <c r="AC540" s="172" t="s">
        <v>654</v>
      </c>
      <c r="AD540" s="308">
        <v>0.27083333333333331</v>
      </c>
      <c r="AE540" s="217">
        <v>9038</v>
      </c>
      <c r="AF540" s="217" t="s">
        <v>317</v>
      </c>
      <c r="AG540" s="217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73" t="str">
        <f>IF(BS_CONTROLE[[#This Row],[Local - Partida]]=0, "-", BS_CONTROLE[[#This Row],[Local - Partida]])</f>
        <v>ZPT1051</v>
      </c>
      <c r="AL540" s="273" t="str">
        <f>IF(BS_CONTROLE[[#This Row],[Local - Encerramento]]=0, "-", BS_CONTROLE[[#This Row],[Local - Encerramento]])</f>
        <v>ZPTZDR</v>
      </c>
      <c r="AM540" s="273" t="str">
        <f>IF(BS_CONTROLE[[#This Row],[Entre - Estações]]=0, "-", BS_CONTROLE[[#This Row],[Entre - Estações]])</f>
        <v>ZPT-ZXW</v>
      </c>
      <c r="AN540" s="273" t="str">
        <f>IF(BS_CONTROLE[[#This Row],[SB]]=0, "-", BS_CONTROLE[[#This Row],[SB]])</f>
        <v>K84ZXW1</v>
      </c>
      <c r="AO540" s="254">
        <f>IF(BS_CONTROLE[[#This Row],[SUB]]=0, "-", BS_CONTROLE[[#This Row],[SUB]])</f>
        <v>54</v>
      </c>
      <c r="AP540" s="255">
        <f>IF(BS_CONTROLE[[#This Row],[KM - Inicio]]=0, "-", BS_CONTROLE[[#This Row],[KM - Inicio]])</f>
        <v>83.7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>
        <f>IF(D540="","*",IFERROR(IF(ISODD(COUNT(AS540:AX540)),"ERRO",SUM((AT540-AS540),(AV540-AU540),(AX540-AW540))),"ERRO"))</f>
        <v>0</v>
      </c>
      <c r="AZ540" s="14"/>
      <c r="BA540" s="72"/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3" t="str">
        <f>IFERROR(_xlfn.XLOOKUP(AO540, BASE_MAPA!$D$2:$D$260, BASE_MAPA!$I$2:$I$260), "ERRO")</f>
        <v>ZEV</v>
      </c>
      <c r="BF540" s="256" t="str">
        <f>IF(BS_CONTROLE[[#This Row],[Responsavel pelo boletim]]=0, "-", BS_CONTROLE[[#This Row],[Responsavel pelo boletim]])</f>
        <v>Moisés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Produção e Intervalo</v>
      </c>
      <c r="BR540" s="19">
        <f>IF(OR(B540="",F540=""),"*",AY540/P540)</f>
        <v>0</v>
      </c>
      <c r="BS540" s="19">
        <f>IF(OR(B540="",F540=""),"*",BA540/Q540)</f>
        <v>0</v>
      </c>
    </row>
    <row r="541" spans="1:71">
      <c r="A541" s="167" t="str">
        <f t="shared" si="54"/>
        <v>EDSON (TP-719)46014</v>
      </c>
      <c r="B541" s="168">
        <v>46014</v>
      </c>
      <c r="C541" s="8"/>
      <c r="D541" s="52" t="s">
        <v>588</v>
      </c>
      <c r="E541" s="286">
        <v>508</v>
      </c>
      <c r="F541" s="172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1" t="str">
        <f>IFERROR(_xlfn.XLOOKUP(J541, BASE_MAPA!$D$2:$D$260, BASE_MAPA!$I$2:$I$260), "ERRO")</f>
        <v>069-ZEV</v>
      </c>
      <c r="V541" s="269" t="s">
        <v>968</v>
      </c>
      <c r="W541" s="173" t="s">
        <v>1130</v>
      </c>
      <c r="X541" s="52" t="s">
        <v>667</v>
      </c>
      <c r="Y541" s="158"/>
      <c r="Z541" s="158"/>
      <c r="AA541" s="144" t="s">
        <v>317</v>
      </c>
      <c r="AB541" s="71"/>
      <c r="AC541" s="71" t="s">
        <v>317</v>
      </c>
      <c r="AD541" s="173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ZGP-ZWU</v>
      </c>
      <c r="AN541" s="273" t="str">
        <f>IF(BS_CONTROLE[[#This Row],[SB]]=0, "-", BS_CONTROLE[[#This Row],[SB]])</f>
        <v>ZGP1002</v>
      </c>
      <c r="AO541" s="254">
        <f>IF(BS_CONTROLE[[#This Row],[SUB]]=0, "-", BS_CONTROLE[[#This Row],[SUB]])</f>
        <v>92</v>
      </c>
      <c r="AP541" s="255">
        <f>IF(BS_CONTROLE[[#This Row],[KM - Inicio]]=0, "-", BS_CONTROLE[[#This Row],[KM - Inicio]])</f>
        <v>101.7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>
        <f>IF(D541="","*",IFERROR(IF(ISODD(COUNT(AS541:AX541)),"ERRO",SUM((AT541-AS541),(AV541-AU541),(AX541-AW541))),"ERRO"))</f>
        <v>0</v>
      </c>
      <c r="AZ541" s="14"/>
      <c r="BA541" s="72"/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3" t="str">
        <f>IFERROR(_xlfn.XLOOKUP(AO541, BASE_MAPA!$D$2:$D$260, BASE_MAPA!$I$2:$I$260), "ERRO")</f>
        <v>069-ZEV</v>
      </c>
      <c r="BF541" s="256" t="str">
        <f>IF(BS_CONTROLE[[#This Row],[Responsavel pelo boletim]]=0, "-", BS_CONTROLE[[#This Row],[Responsavel pelo boletim]])</f>
        <v>Moises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Produção e Intervalo</v>
      </c>
      <c r="BR541" s="19">
        <f>IF(OR(B541="",F541=""),"*",AY541/P541)</f>
        <v>0</v>
      </c>
      <c r="BS541" s="19">
        <f>IF(OR(B541="",F541=""),"*",BA541/Q541)</f>
        <v>0</v>
      </c>
    </row>
    <row r="542" spans="1:71">
      <c r="A542" s="167" t="str">
        <f t="shared" si="54"/>
        <v>JACIANO (TF-674)46014</v>
      </c>
      <c r="B542" s="168">
        <v>46014</v>
      </c>
      <c r="C542" s="8"/>
      <c r="D542" s="52" t="s">
        <v>604</v>
      </c>
      <c r="E542" s="286">
        <v>535</v>
      </c>
      <c r="F542" s="172" t="s">
        <v>502</v>
      </c>
      <c r="G542" s="159" t="str">
        <f>IF(D542="","*",VLOOKUP(F542,BS_ATIVIDADE[#All],3,FALSE))</f>
        <v>DORMENTE - SUBSTITUIÇÂO</v>
      </c>
      <c r="H542" s="173" t="s">
        <v>317</v>
      </c>
      <c r="I542" s="173" t="s">
        <v>317</v>
      </c>
      <c r="J542" s="217">
        <v>53</v>
      </c>
      <c r="K542" s="217">
        <v>109.3</v>
      </c>
      <c r="L542" s="84" t="s">
        <v>317</v>
      </c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3">
        <v>0.45833333333333331</v>
      </c>
      <c r="P542" s="173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1" t="str">
        <f>IFERROR(_xlfn.XLOOKUP(J542, BASE_MAPA!$D$2:$D$260, BASE_MAPA!$I$2:$I$260), "ERRO")</f>
        <v>PAT-ZGM</v>
      </c>
      <c r="V542" s="269" t="s">
        <v>968</v>
      </c>
      <c r="W542" s="256" t="s">
        <v>936</v>
      </c>
      <c r="X542" s="52" t="s">
        <v>667</v>
      </c>
      <c r="Y542" s="158"/>
      <c r="Z542" s="158"/>
      <c r="AA542" s="84">
        <v>1</v>
      </c>
      <c r="AB542" s="71" t="s">
        <v>659</v>
      </c>
      <c r="AC542" s="71" t="s">
        <v>654</v>
      </c>
      <c r="AD542" s="173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PAT-ZGM</v>
      </c>
      <c r="AN542" s="273" t="str">
        <f>IF(BS_CONTROLE[[#This Row],[SB]]=0, "-", BS_CONTROLE[[#This Row],[SB]])</f>
        <v>PAT1102</v>
      </c>
      <c r="AO542" s="254">
        <f>IF(BS_CONTROLE[[#This Row],[SUB]]=0, "-", BS_CONTROLE[[#This Row],[SUB]])</f>
        <v>53</v>
      </c>
      <c r="AP542" s="255">
        <f>IF(BS_CONTROLE[[#This Row],[KM - Inicio]]=0, "-", BS_CONTROLE[[#This Row],[KM - Inicio]])</f>
        <v>109.3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>
        <f>IF(D542="","*",IFERROR(IF(ISODD(COUNT(AS542:AX542)),"ERRO",SUM((AT542-AS542),(AV542-AU542),(AX542-AW542))),"ERRO"))</f>
        <v>0</v>
      </c>
      <c r="AZ542" s="14"/>
      <c r="BA542" s="72"/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3" t="str">
        <f>IFERROR(_xlfn.XLOOKUP(AO542, BASE_MAPA!$D$2:$D$260, BASE_MAPA!$I$2:$I$260), "ERRO")</f>
        <v>PAT-ZGM</v>
      </c>
      <c r="BF542" s="256" t="str">
        <f>IF(BS_CONTROLE[[#This Row],[Responsavel pelo boletim]]=0, "-", BS_CONTROLE[[#This Row],[Responsavel pelo boletim]])</f>
        <v>Moises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Produção e Intervalo</v>
      </c>
      <c r="BR542" s="19">
        <f>IF(OR(B542="",F542=""),"*",AY542/P542)</f>
        <v>0</v>
      </c>
      <c r="BS542" s="19">
        <f>IF(OR(B542="",F542=""),"*",BA542/Q542)</f>
        <v>0</v>
      </c>
    </row>
    <row r="543" spans="1:71">
      <c r="A543" s="167" t="str">
        <f t="shared" si="54"/>
        <v>V8546014</v>
      </c>
      <c r="B543" s="168">
        <v>46014</v>
      </c>
      <c r="C543" s="8"/>
      <c r="D543" s="52" t="s">
        <v>512</v>
      </c>
      <c r="E543" s="286">
        <v>46</v>
      </c>
      <c r="F543" s="172" t="s">
        <v>421</v>
      </c>
      <c r="G543" s="159" t="str">
        <f>IF(D543="","*",VLOOKUP(F543,BS_ATIVIDADE[#All],3,FALSE))</f>
        <v>MECANIZAÇÃO - SOCADORA</v>
      </c>
      <c r="H543" s="173" t="s">
        <v>988</v>
      </c>
      <c r="I543" s="173" t="s">
        <v>956</v>
      </c>
      <c r="J543" s="217">
        <v>30</v>
      </c>
      <c r="K543" s="217">
        <v>114.3</v>
      </c>
      <c r="L543" s="217">
        <v>115</v>
      </c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3">
        <v>0.35416666666666669</v>
      </c>
      <c r="P543" s="173">
        <v>6.25E-2</v>
      </c>
      <c r="Q543" s="217">
        <v>700</v>
      </c>
      <c r="R543" s="10" t="str">
        <f>IFERROR(_xlfn.XLOOKUP(F543, BS_ATIVIDADE[ATIVIDADE],BS_ATIVIDADE[UNIDADE] ), "*")</f>
        <v>M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1" t="str">
        <f>IFERROR(_xlfn.XLOOKUP(J543, BASE_MAPA!$D$2:$D$260, BASE_MAPA!$I$2:$I$260), "ERRO")</f>
        <v>ZGM-109</v>
      </c>
      <c r="V543" s="198" t="s">
        <v>929</v>
      </c>
      <c r="W543" s="256" t="s">
        <v>1098</v>
      </c>
      <c r="X543" s="52" t="s">
        <v>667</v>
      </c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73" t="str">
        <f>IF(BS_CONTROLE[[#This Row],[Local - Partida]]=0, "-", BS_CONTROLE[[#This Row],[Local - Partida]])</f>
        <v>109ZPT2</v>
      </c>
      <c r="AL543" s="273" t="str">
        <f>IF(BS_CONTROLE[[#This Row],[Local - Encerramento]]=0, "-", BS_CONTROLE[[#This Row],[Local - Encerramento]])</f>
        <v>ZPTZDR</v>
      </c>
      <c r="AM543" s="273" t="str">
        <f>IF(BS_CONTROLE[[#This Row],[Entre - Estações]]=0, "-", BS_CONTROLE[[#This Row],[Entre - Estações]])</f>
        <v>ZGM1</v>
      </c>
      <c r="AN543" s="273" t="str">
        <f>IF(BS_CONTROLE[[#This Row],[SB]]=0, "-", BS_CONTROLE[[#This Row],[SB]])</f>
        <v>ZGM1</v>
      </c>
      <c r="AO543" s="254">
        <f>IF(BS_CONTROLE[[#This Row],[SUB]]=0, "-", BS_CONTROLE[[#This Row],[SUB]])</f>
        <v>30</v>
      </c>
      <c r="AP543" s="255">
        <f>IF(BS_CONTROLE[[#This Row],[KM - Inicio]]=0, "-", BS_CONTROLE[[#This Row],[KM - Inicio]])</f>
        <v>114.3</v>
      </c>
      <c r="AQ543" s="255">
        <f>IF(BS_CONTROLE[[#This Row],[KM - Fim]]=0, "-", BS_CONTROLE[[#This Row],[KM - Fim]])</f>
        <v>115</v>
      </c>
      <c r="AR543" s="274"/>
      <c r="AS543" s="274"/>
      <c r="AT543" s="274"/>
      <c r="AU543" s="237"/>
      <c r="AV543" s="237"/>
      <c r="AW543" s="237"/>
      <c r="AX543" s="39"/>
      <c r="AY543" s="12">
        <f>IF(D543="","*",IFERROR(IF(ISODD(COUNT(AS543:AX543)),"ERRO",SUM((AT543-AS543),(AV543-AU543),(AX543-AW543))),"ERRO"))</f>
        <v>0</v>
      </c>
      <c r="AZ543" s="14"/>
      <c r="BA543" s="72"/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3" t="str">
        <f>IFERROR(_xlfn.XLOOKUP(AO543, BASE_MAPA!$D$2:$D$260, BASE_MAPA!$I$2:$I$260), "ERRO")</f>
        <v>ZGM-109</v>
      </c>
      <c r="BF543" s="256" t="str">
        <f>IF(BS_CONTROLE[[#This Row],[Responsavel pelo boletim]]=0, "-", BS_CONTROLE[[#This Row],[Responsavel pelo boletim]])</f>
        <v>Saulo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Produção e Intervalo</v>
      </c>
      <c r="BR543" s="19">
        <f>IF(OR(B543="",F543=""),"*",AY543/P543)</f>
        <v>0</v>
      </c>
      <c r="BS543" s="19">
        <f>IF(OR(B543="",F543=""),"*",BA543/Q543)</f>
        <v>0</v>
      </c>
    </row>
    <row r="544" spans="1:7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" name="Range1_19_1"/>
    <protectedRange sqref="AA27:AC27 AA25:AE25 AA75:AC75 AA103:AC103 AA148:AE148 AA151:AC151 AA212:AE212 AA301:AE301 AA326:AE326 AA358:AE358 AA408:AE408 AA467:AE467 AA483:AE483 AA517:AE517 AA540:AE540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1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1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4 AG530 AG527:AG528 AG537:AG538 AG542 AG540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5" t="s">
        <v>1685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 ht="34.5" customHeight="1">
      <c r="C3" s="318" t="s">
        <v>409</v>
      </c>
      <c r="D3" s="318" t="s">
        <v>1686</v>
      </c>
      <c r="E3" s="318" t="s">
        <v>1687</v>
      </c>
      <c r="F3" s="318" t="s">
        <v>1688</v>
      </c>
      <c r="G3" s="323" t="s">
        <v>1689</v>
      </c>
      <c r="H3" s="318" t="s">
        <v>1690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1691</v>
      </c>
      <c r="H4" s="321"/>
    </row>
    <row r="5" spans="3:8">
      <c r="C5" s="319" t="s">
        <v>541</v>
      </c>
      <c r="D5" s="319" t="s">
        <v>1692</v>
      </c>
      <c r="E5" s="320">
        <v>46013</v>
      </c>
      <c r="F5" s="319">
        <v>7000</v>
      </c>
      <c r="G5" s="324" t="s">
        <v>1693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1694</v>
      </c>
      <c r="G6" s="324" t="s">
        <v>1693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1695</v>
      </c>
      <c r="G7" s="325" t="s">
        <v>1696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1697</v>
      </c>
      <c r="G8" s="324" t="s">
        <v>1698</v>
      </c>
      <c r="H8" s="319" t="s">
        <v>1699</v>
      </c>
    </row>
    <row r="9" spans="3:8">
      <c r="C9" s="319" t="s">
        <v>463</v>
      </c>
      <c r="D9" s="319" t="s">
        <v>1700</v>
      </c>
      <c r="E9" s="320">
        <v>45993</v>
      </c>
      <c r="F9" s="319">
        <v>12000</v>
      </c>
      <c r="G9" s="324" t="s">
        <v>1701</v>
      </c>
      <c r="H9" s="319"/>
    </row>
    <row r="10" spans="3:8" ht="29.25">
      <c r="C10" s="319" t="s">
        <v>463</v>
      </c>
      <c r="D10" s="319" t="s">
        <v>1702</v>
      </c>
      <c r="E10" s="320">
        <v>45993</v>
      </c>
      <c r="F10" s="319">
        <v>9000</v>
      </c>
      <c r="G10" s="324" t="s">
        <v>1703</v>
      </c>
      <c r="H10" s="319"/>
    </row>
    <row r="11" spans="3:8" ht="29.25">
      <c r="C11" s="319" t="s">
        <v>463</v>
      </c>
      <c r="D11" s="319" t="s">
        <v>1704</v>
      </c>
      <c r="E11" s="320">
        <v>45993</v>
      </c>
      <c r="F11" s="319">
        <v>10000</v>
      </c>
      <c r="G11" s="324" t="s">
        <v>1703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1705</v>
      </c>
      <c r="G12" s="324" t="s">
        <v>1706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3" sqref="C13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3" t="s">
        <v>1707</v>
      </c>
      <c r="C2" s="383"/>
      <c r="D2" s="383"/>
      <c r="E2" s="383"/>
      <c r="F2" s="383"/>
      <c r="G2" s="383"/>
    </row>
    <row r="3" spans="2:8" ht="20.25" customHeight="1">
      <c r="B3" s="384"/>
      <c r="C3" s="384"/>
      <c r="D3" s="384"/>
      <c r="E3" s="384"/>
      <c r="F3" s="384"/>
      <c r="G3" s="384"/>
    </row>
    <row r="4" spans="2:8">
      <c r="B4" s="323" t="s">
        <v>1708</v>
      </c>
      <c r="C4" s="323" t="s">
        <v>1709</v>
      </c>
      <c r="D4" s="323" t="s">
        <v>1710</v>
      </c>
      <c r="E4" s="323" t="s">
        <v>1711</v>
      </c>
      <c r="F4" s="323" t="s">
        <v>8</v>
      </c>
      <c r="G4" s="323" t="s">
        <v>1712</v>
      </c>
    </row>
    <row r="5" spans="2:8">
      <c r="B5" s="326" t="s">
        <v>1153</v>
      </c>
      <c r="C5" s="326">
        <v>314978</v>
      </c>
      <c r="D5" s="326" t="s">
        <v>1713</v>
      </c>
      <c r="E5" s="326" t="s">
        <v>541</v>
      </c>
      <c r="F5" s="326" t="s">
        <v>101</v>
      </c>
      <c r="G5" s="327">
        <v>46143</v>
      </c>
    </row>
    <row r="6" spans="2:8">
      <c r="B6" s="326" t="s">
        <v>1714</v>
      </c>
      <c r="C6" s="326">
        <v>256790</v>
      </c>
      <c r="D6" s="326" t="s">
        <v>1715</v>
      </c>
      <c r="E6" s="326" t="s">
        <v>541</v>
      </c>
      <c r="F6" s="326" t="s">
        <v>1716</v>
      </c>
      <c r="G6" s="327">
        <v>45992</v>
      </c>
    </row>
    <row r="7" spans="2:8">
      <c r="B7" s="326" t="s">
        <v>1717</v>
      </c>
      <c r="C7" s="326">
        <v>265193</v>
      </c>
      <c r="D7" s="326" t="s">
        <v>1718</v>
      </c>
      <c r="E7" s="326" t="s">
        <v>542</v>
      </c>
      <c r="F7" s="326" t="s">
        <v>1500</v>
      </c>
      <c r="G7" s="326" t="s">
        <v>1719</v>
      </c>
    </row>
    <row r="8" spans="2:8">
      <c r="B8" s="326" t="s">
        <v>1720</v>
      </c>
      <c r="C8" s="326">
        <v>293716</v>
      </c>
      <c r="D8" s="326" t="s">
        <v>1721</v>
      </c>
      <c r="E8" s="326" t="s">
        <v>542</v>
      </c>
      <c r="F8" s="326" t="s">
        <v>1500</v>
      </c>
      <c r="G8" s="327">
        <v>46204</v>
      </c>
    </row>
    <row r="9" spans="2:8">
      <c r="B9" s="326" t="s">
        <v>1722</v>
      </c>
      <c r="C9" s="326">
        <v>257258</v>
      </c>
      <c r="D9" s="326" t="s">
        <v>1723</v>
      </c>
      <c r="E9" s="326" t="s">
        <v>543</v>
      </c>
      <c r="F9" s="326" t="s">
        <v>144</v>
      </c>
      <c r="G9" s="327">
        <v>46327</v>
      </c>
    </row>
    <row r="10" spans="2:8">
      <c r="B10" s="326" t="s">
        <v>1724</v>
      </c>
      <c r="C10" s="326">
        <v>371147</v>
      </c>
      <c r="D10" s="326" t="s">
        <v>1725</v>
      </c>
      <c r="E10" s="326" t="s">
        <v>543</v>
      </c>
      <c r="F10" s="326" t="s">
        <v>144</v>
      </c>
      <c r="G10" s="326" t="s">
        <v>1719</v>
      </c>
    </row>
    <row r="11" spans="2:8">
      <c r="B11" s="326" t="s">
        <v>1726</v>
      </c>
      <c r="C11" s="326">
        <v>259230</v>
      </c>
      <c r="D11" s="326" t="s">
        <v>1727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1728</v>
      </c>
      <c r="C12" s="326">
        <v>370705</v>
      </c>
      <c r="D12" s="326"/>
      <c r="E12" s="326" t="s">
        <v>543</v>
      </c>
      <c r="F12" s="326" t="s">
        <v>144</v>
      </c>
      <c r="G12" s="326" t="s">
        <v>1719</v>
      </c>
    </row>
    <row r="13" spans="2:8">
      <c r="B13" s="326" t="s">
        <v>1729</v>
      </c>
      <c r="C13" s="326">
        <v>258542</v>
      </c>
      <c r="D13" s="326" t="s">
        <v>1730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1731</v>
      </c>
      <c r="C14" s="326">
        <v>257050</v>
      </c>
      <c r="D14" s="326" t="s">
        <v>1732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1733</v>
      </c>
      <c r="W1" s="391"/>
      <c r="X1" s="391"/>
      <c r="Y1" s="104"/>
    </row>
    <row r="2" spans="1:25" s="101" customFormat="1" ht="11.25" customHeight="1">
      <c r="A2" s="105" t="s">
        <v>1734</v>
      </c>
      <c r="B2" s="105" t="s">
        <v>1735</v>
      </c>
      <c r="C2" s="105" t="s">
        <v>313</v>
      </c>
      <c r="D2" s="106" t="s">
        <v>874</v>
      </c>
      <c r="E2" s="106" t="s">
        <v>875</v>
      </c>
      <c r="F2" s="106" t="s">
        <v>1736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1737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31" t="str">
        <f>IF(SP_SUL!N523="","*",SP_SUL!N523)</f>
        <v>ZVK2351</v>
      </c>
      <c r="M521" s="111">
        <f>IF(SP_SUL!J523="","*",SP_SUL!J523)</f>
        <v>49</v>
      </c>
      <c r="N521" s="265">
        <f>IF(SP_SUL!K523="","*",SP_SUL!K523)</f>
        <v>232.9</v>
      </c>
      <c r="O521" s="265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944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31" t="str">
        <f>IF(SP_SUL!N524="","*",SP_SUL!N524)</f>
        <v>ZVK2351</v>
      </c>
      <c r="M522" s="111">
        <f>IF(SP_SUL!J524="","*",SP_SUL!J524)</f>
        <v>49</v>
      </c>
      <c r="N522" s="265">
        <f>IF(SP_SUL!K524="","*",SP_SUL!K524)</f>
        <v>232.9</v>
      </c>
      <c r="O522" s="265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100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31" t="str">
        <f>IF(SP_SUL!N525="","*",SP_SUL!N525)</f>
        <v>ZYU1</v>
      </c>
      <c r="M523" s="111">
        <f>IF(SP_SUL!J525="","*",SP_SUL!J525)</f>
        <v>49</v>
      </c>
      <c r="N523" s="265">
        <f>IF(SP_SUL!K525="","*",SP_SUL!K525)</f>
        <v>202.4</v>
      </c>
      <c r="O523" s="265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15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31" t="str">
        <f>IF(SP_SUL!N526="","*",SP_SUL!N526)</f>
        <v>ZER169</v>
      </c>
      <c r="M524" s="111">
        <f>IF(SP_SUL!J526="","*",SP_SUL!J526)</f>
        <v>56</v>
      </c>
      <c r="N524" s="265">
        <f>IF(SP_SUL!K526="","*",SP_SUL!K526)</f>
        <v>168</v>
      </c>
      <c r="O524" s="265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15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31" t="str">
        <f>IF(SP_SUL!N527="","*",SP_SUL!N527)</f>
        <v>102ZKW2</v>
      </c>
      <c r="M525" s="111">
        <f>IF(SP_SUL!J527="","*",SP_SUL!J527)</f>
        <v>55</v>
      </c>
      <c r="N525" s="265">
        <f>IF(SP_SUL!K527="","*",SP_SUL!K527)</f>
        <v>102</v>
      </c>
      <c r="O525" s="265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31" t="str">
        <f>IF(SP_SUL!N528="","*",SP_SUL!N528)</f>
        <v>ZEM2</v>
      </c>
      <c r="M526" s="111">
        <f>IF(SP_SUL!J528="","*",SP_SUL!J528)</f>
        <v>55</v>
      </c>
      <c r="N526" s="265">
        <f>IF(SP_SUL!K528="","*",SP_SUL!K528)</f>
        <v>134.4</v>
      </c>
      <c r="O526" s="265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31" t="str">
        <f>IF(SP_SUL!N529="","*",SP_SUL!N529)</f>
        <v>144ZMS2</v>
      </c>
      <c r="M527" s="111">
        <f>IF(SP_SUL!J529="","*",SP_SUL!J529)</f>
        <v>55</v>
      </c>
      <c r="N527" s="265">
        <f>IF(SP_SUL!K529="","*",SP_SUL!K529)</f>
        <v>143</v>
      </c>
      <c r="O527" s="265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31" t="str">
        <f>IF(SP_SUL!N530="","*",SP_SUL!N530)</f>
        <v>ZRB1502</v>
      </c>
      <c r="M528" s="111">
        <f>IF(SP_SUL!J530="","*",SP_SUL!J530)</f>
        <v>55</v>
      </c>
      <c r="N528" s="265">
        <f>IF(SP_SUL!K530="","*",SP_SUL!K530)</f>
        <v>151.6</v>
      </c>
      <c r="O528" s="265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31" t="str">
        <f>IF(SP_SUL!N533="","*",SP_SUL!N533)</f>
        <v>ZWI2</v>
      </c>
      <c r="M531" s="111">
        <f>IF(SP_SUL!J533="","*",SP_SUL!J533)</f>
        <v>55</v>
      </c>
      <c r="N531" s="265">
        <f>IF(SP_SUL!K533="","*",SP_SUL!K533)</f>
        <v>118.61799999999999</v>
      </c>
      <c r="O531" s="265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31" t="str">
        <f>IF(SP_SUL!N534="","*",SP_SUL!N534)</f>
        <v>121ZWI2</v>
      </c>
      <c r="M532" s="111">
        <f>IF(SP_SUL!J534="","*",SP_SUL!J534)</f>
        <v>55</v>
      </c>
      <c r="N532" s="265">
        <f>IF(SP_SUL!K534="","*",SP_SUL!K534)</f>
        <v>120.521</v>
      </c>
      <c r="O532" s="265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31">
        <f>IF(SP_SUL!N535="","*",SP_SUL!N535)</f>
        <v>1231212</v>
      </c>
      <c r="M533" s="111">
        <f>IF(SP_SUL!J535="","*",SP_SUL!J535)</f>
        <v>55</v>
      </c>
      <c r="N533" s="265">
        <f>IF(SP_SUL!K535="","*",SP_SUL!K535)</f>
        <v>121.70699999999999</v>
      </c>
      <c r="O533" s="265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31" t="str">
        <f>IF(SP_SUL!N537="","*",SP_SUL!N537)</f>
        <v>ZEVZPG</v>
      </c>
      <c r="M535" s="111">
        <f>IF(SP_SUL!J537="","*",SP_SUL!J537)</f>
        <v>92</v>
      </c>
      <c r="N535" s="265">
        <f>IF(SP_SUL!K537="","*",SP_SUL!K537)</f>
        <v>66</v>
      </c>
      <c r="O535" s="265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>
        <f ca="1">_xlfn.XLOOKUP(G535&amp;$V$2,BS_CONTROLE[CHAVE],BS_CONTROLE[Quantidade_11],"-")</f>
        <v>1</v>
      </c>
      <c r="W535" s="112">
        <f ca="1">_xlfn.XLOOKUP(G535&amp;$W$2,BS_CONTROLE[CHAVE],BS_CONTROLE[Quantidade_11],"-")</f>
        <v>0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31" t="str">
        <f>IF(SP_SUL!N538="","*",SP_SUL!N538)</f>
        <v>K84ZXW2</v>
      </c>
      <c r="M536" s="111">
        <f>IF(SP_SUL!J538="","*",SP_SUL!J538)</f>
        <v>92</v>
      </c>
      <c r="N536" s="265">
        <f>IF(SP_SUL!K538="","*",SP_SUL!K538)</f>
        <v>83.7</v>
      </c>
      <c r="O536" s="265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31" t="str">
        <f>IF(SP_SUL!N539="","*",SP_SUL!N539)</f>
        <v>K84ZXW2</v>
      </c>
      <c r="M537" s="111">
        <f>IF(SP_SUL!J539="","*",SP_SUL!J539)</f>
        <v>92</v>
      </c>
      <c r="N537" s="265">
        <f>IF(SP_SUL!K539="","*",SP_SUL!K539)</f>
        <v>83.3</v>
      </c>
      <c r="O537" s="265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31" t="str">
        <f>IF(SP_SUL!N540="","*",SP_SUL!N540)</f>
        <v>K84ZXW1</v>
      </c>
      <c r="M538" s="111">
        <f>IF(SP_SUL!J540="","*",SP_SUL!J540)</f>
        <v>54</v>
      </c>
      <c r="N538" s="265">
        <f>IF(SP_SUL!K540="","*",SP_SUL!K540)</f>
        <v>83.7</v>
      </c>
      <c r="O538" s="265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31" t="str">
        <f>IF(SP_SUL!N541="","*",SP_SUL!N541)</f>
        <v>ZGP1002</v>
      </c>
      <c r="M539" s="111">
        <f>IF(SP_SUL!J541="","*",SP_SUL!J541)</f>
        <v>92</v>
      </c>
      <c r="N539" s="265">
        <f>IF(SP_SUL!K541="","*",SP_SUL!K541)</f>
        <v>101.7</v>
      </c>
      <c r="O539" s="265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720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31" t="str">
        <f>IF(SP_SUL!N542="","*",SP_SUL!N542)</f>
        <v>PAT1102</v>
      </c>
      <c r="M540" s="111">
        <f>IF(SP_SUL!J542="","*",SP_SUL!J542)</f>
        <v>53</v>
      </c>
      <c r="N540" s="265">
        <f>IF(SP_SUL!K542="","*",SP_SUL!K542)</f>
        <v>109.3</v>
      </c>
      <c r="O540" s="265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31" t="str">
        <f>IF(SP_SUL!N543="","*",SP_SUL!N543)</f>
        <v>ZGM1</v>
      </c>
      <c r="M541" s="111">
        <f>IF(SP_SUL!J543="","*",SP_SUL!J543)</f>
        <v>30</v>
      </c>
      <c r="N541" s="265">
        <f>IF(SP_SUL!K543="","*",SP_SUL!K543)</f>
        <v>114.3</v>
      </c>
      <c r="O541" s="265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1500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1738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1739</v>
      </c>
      <c r="D5" s="393"/>
      <c r="E5" s="393"/>
      <c r="F5" s="393"/>
      <c r="G5" s="393"/>
      <c r="H5" s="393"/>
      <c r="I5" s="393"/>
      <c r="J5" s="394"/>
      <c r="K5" s="395" t="s">
        <v>1740</v>
      </c>
      <c r="L5" s="396"/>
      <c r="M5" s="396"/>
      <c r="N5" s="396"/>
      <c r="O5" s="397" t="s">
        <v>1741</v>
      </c>
      <c r="P5" s="398"/>
      <c r="Q5" s="399"/>
    </row>
    <row r="6" spans="1:17" s="94" customFormat="1" ht="15.75" customHeight="1">
      <c r="A6" s="88" t="s">
        <v>1736</v>
      </c>
      <c r="B6" s="95" t="s">
        <v>1735</v>
      </c>
      <c r="C6" s="96" t="s">
        <v>874</v>
      </c>
      <c r="D6" s="97" t="s">
        <v>875</v>
      </c>
      <c r="E6" s="96" t="s">
        <v>1742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1743</v>
      </c>
      <c r="M6" s="139" t="s">
        <v>335</v>
      </c>
      <c r="N6" s="140" t="s">
        <v>869</v>
      </c>
      <c r="O6" s="241" t="s">
        <v>912</v>
      </c>
      <c r="P6" s="157"/>
      <c r="Q6" s="193" t="s">
        <v>1744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2</v>
      </c>
      <c r="P471" s="91"/>
      <c r="Q471" s="145" t="str">
        <f>IF($A$2=1,IF(SP_SUL!BJ492="","*",SP_SUL!BJ492),IF(SP_SUL!BK492="","*",SP_SUL!BK492))</f>
        <v>TP pronto 12h17 / Em intervalo das 13h59 até 16h59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2</v>
      </c>
      <c r="P472" s="91"/>
      <c r="Q472" s="145" t="str">
        <f>IF($A$2=1,IF(SP_SUL!BJ493="","*",SP_SUL!BJ493),IF(SP_SUL!BK493="","*",SP_SUL!BK493))</f>
        <v>MC1 08h25 / autorizado entrada na via 12h26 / Em deslocamento para ZEM.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0</v>
      </c>
      <c r="P476" s="91"/>
      <c r="Q476" s="145" t="str">
        <f>IF($A$2=1,IF(SP_SUL!BJ497="","*",SP_SUL!BJ497),IF(SP_SUL!BK497="","*",SP_SUL!BK497))</f>
        <v>Sem oportunidade de faixa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2</v>
      </c>
      <c r="P488" s="91"/>
      <c r="Q488" s="145" t="str">
        <f>IF($A$2=1,IF(SP_SUL!BJ509="","*",SP_SUL!BJ509),IF(SP_SUL!BK509="","*",SP_SUL!BK509))</f>
        <v>Em intervalo das 13h35 até 15h35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0</v>
      </c>
      <c r="P489" s="91"/>
      <c r="Q489" s="145" t="str">
        <f>IF($A$2=1,IF(SP_SUL!BJ510="","*",SP_SUL!BJ510),IF(SP_SUL!BK510="","*",SP_SUL!BK510))</f>
        <v xml:space="preserve">MC1 07h44 /  previsão de faixa após U58 / cancelado  devido risco de exceder jornada / 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2</v>
      </c>
      <c r="P492" s="91"/>
      <c r="Q492" s="145" t="str">
        <f>IF($A$2=1,IF(SP_SUL!BJ513="","*",SP_SUL!BJ513),IF(SP_SUL!BK513="","*",SP_SUL!BK513))</f>
        <v>MC1 11h36 / autorizado entrada na via 12h23. Em deslocamento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0</v>
      </c>
      <c r="P493" s="91"/>
      <c r="Q493" s="145" t="str">
        <f>IF($A$2=1,IF(SP_SUL!BJ514="","*",SP_SUL!BJ514),IF(SP_SUL!BK514="","*",SP_SUL!BK514))</f>
        <v>TP embarcado no W61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ZEM1302</v>
      </c>
      <c r="L510" s="141" t="str">
        <f>IF(SP_SUL!AM528="","*",SP_SUL!AM528)</f>
        <v>ZYQ-ZEM</v>
      </c>
      <c r="M510" s="141">
        <f>IF(SP_SUL!AP528="","*",SP_SUL!AP528)</f>
        <v>134.4</v>
      </c>
      <c r="N510" s="141" t="str">
        <f>IF(SP_SUL!AM528="","*",SP_SUL!AM528)</f>
        <v>ZYQ-ZEM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1745</v>
      </c>
      <c r="C2" s="96" t="s">
        <v>859</v>
      </c>
      <c r="D2" s="96" t="s">
        <v>861</v>
      </c>
      <c r="E2" s="96" t="s">
        <v>1746</v>
      </c>
      <c r="F2" s="96" t="s">
        <v>1747</v>
      </c>
      <c r="G2" s="96" t="s">
        <v>1748</v>
      </c>
      <c r="H2" s="96" t="s">
        <v>1749</v>
      </c>
      <c r="I2" s="96" t="s">
        <v>1750</v>
      </c>
      <c r="J2" s="96" t="s">
        <v>1751</v>
      </c>
      <c r="K2" s="131" t="s">
        <v>1752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>
        <f>IF(SP_SUL!B522="","*",SP_SUL!B522)</f>
        <v>46014</v>
      </c>
      <c r="D498" s="121" t="str">
        <f>IF(SP_SUL!D522="","*",SP_SUL!D522)</f>
        <v>A74</v>
      </c>
      <c r="E498" s="121" t="str">
        <f>IF(SP_SUL!H522="","*",SP_SUL!H522)</f>
        <v>ZQBZBV</v>
      </c>
      <c r="F498" s="137" t="str">
        <f>IF(SP_SUL!M522="","*",SP_SUL!M522)</f>
        <v>ZQBZBV-ZKE</v>
      </c>
      <c r="G498" s="121" t="str">
        <f>IF(SP_SUL!I522="","*",SP_SUL!I522)</f>
        <v>ZKE</v>
      </c>
      <c r="H498" s="121" t="str">
        <f>IF(SP_SUL!AB522="","*",SP_SUL!AB522)</f>
        <v>FIXO</v>
      </c>
      <c r="I498" s="121" t="str">
        <f>IF(SP_SUL!AC522="","*",SP_SUL!AC522)</f>
        <v>ACIONAMENTO</v>
      </c>
      <c r="J498" s="122">
        <f>IF(SP_SUL!AA522="","*",SP_SUL!AA522)</f>
        <v>1</v>
      </c>
      <c r="K498" s="134">
        <f>IF(SP_SUL!AD522="","*",SP_SUL!AD522)</f>
        <v>0.375</v>
      </c>
    </row>
    <row r="499" spans="2:11" s="123" customFormat="1" hidden="1">
      <c r="B499" s="120" t="str">
        <f>IF(SP_SUL!Y523="","*",SP_SUL!Y523)</f>
        <v>*</v>
      </c>
      <c r="C499" s="121">
        <f>IF(SP_SUL!B523="","*",SP_SUL!B523)</f>
        <v>46014</v>
      </c>
      <c r="D499" s="121" t="str">
        <f>IF(SP_SUL!D523="","*",SP_SUL!D523)</f>
        <v>ROGÉRIO (TP-730)</v>
      </c>
      <c r="E499" s="121" t="str">
        <f>IF(SP_SUL!H523="","*",SP_SUL!H523)</f>
        <v>-</v>
      </c>
      <c r="F499" s="137" t="str">
        <f>IF(SP_SUL!M523="","*",SP_SUL!M523)</f>
        <v>ZVK-ZDS</v>
      </c>
      <c r="G499" s="121" t="str">
        <f>IF(SP_SUL!I523="","*",SP_SUL!I523)</f>
        <v>-</v>
      </c>
      <c r="H499" s="121" t="str">
        <f>IF(SP_SUL!AB523="","*",SP_SUL!AB523)</f>
        <v>-</v>
      </c>
      <c r="I499" s="121" t="str">
        <f>IF(SP_SUL!AC523="","*",SP_SUL!AC523)</f>
        <v>*</v>
      </c>
      <c r="J499" s="122" t="str">
        <f>IF(SP_SUL!AA523="","*",SP_SUL!AA523)</f>
        <v>-</v>
      </c>
      <c r="K499" s="134" t="str">
        <f>IF(SP_SUL!AD523="","*",SP_SUL!AD523)</f>
        <v>-</v>
      </c>
    </row>
    <row r="500" spans="2:11" s="123" customFormat="1" hidden="1">
      <c r="B500" s="120" t="str">
        <f>IF(SP_SUL!Y524="","*",SP_SUL!Y524)</f>
        <v>*</v>
      </c>
      <c r="C500" s="121">
        <f>IF(SP_SUL!B524="","*",SP_SUL!B524)</f>
        <v>46014</v>
      </c>
      <c r="D500" s="121" t="str">
        <f>IF(SP_SUL!D524="","*",SP_SUL!D524)</f>
        <v>W59</v>
      </c>
      <c r="E500" s="121" t="str">
        <f>IF(SP_SUL!H524="","*",SP_SUL!H524)</f>
        <v>ZYU1</v>
      </c>
      <c r="F500" s="137" t="str">
        <f>IF(SP_SUL!M524="","*",SP_SUL!M524)</f>
        <v>ZVK-ZDS</v>
      </c>
      <c r="G500" s="121" t="str">
        <f>IF(SP_SUL!I524="","*",SP_SUL!I524)</f>
        <v>ZYU1</v>
      </c>
      <c r="H500" s="121" t="str">
        <f>IF(SP_SUL!AB524="","*",SP_SUL!AB524)</f>
        <v>FIXO + ESCALA</v>
      </c>
      <c r="I500" s="121" t="str">
        <f>IF(SP_SUL!AC524="","*",SP_SUL!AC524)</f>
        <v>AGD ACIONAMENTO PCM</v>
      </c>
      <c r="J500" s="122">
        <f>IF(SP_SUL!AA524="","*",SP_SUL!AA524)</f>
        <v>1</v>
      </c>
      <c r="K500" s="134">
        <f>IF(SP_SUL!AD524="","*",SP_SUL!AD524)</f>
        <v>0.33333333333333331</v>
      </c>
    </row>
    <row r="501" spans="2:11" s="123" customFormat="1" hidden="1">
      <c r="B501" s="120" t="str">
        <f>IF(SP_SUL!Y525="","*",SP_SUL!Y525)</f>
        <v>*</v>
      </c>
      <c r="C501" s="121">
        <f>IF(SP_SUL!B525="","*",SP_SUL!B525)</f>
        <v>46014</v>
      </c>
      <c r="D501" s="121" t="str">
        <f>IF(SP_SUL!D525="","*",SP_SUL!D525)</f>
        <v>ROBSON (TF-701)</v>
      </c>
      <c r="E501" s="121" t="str">
        <f>IF(SP_SUL!H525="","*",SP_SUL!H525)</f>
        <v>-</v>
      </c>
      <c r="F501" s="137" t="str">
        <f>IF(SP_SUL!M525="","*",SP_SUL!M525)</f>
        <v>ZYU</v>
      </c>
      <c r="G501" s="121" t="str">
        <f>IF(SP_SUL!I525="","*",SP_SUL!I525)</f>
        <v>-</v>
      </c>
      <c r="H501" s="121" t="str">
        <f>IF(SP_SUL!AB525="","*",SP_SUL!AB525)</f>
        <v>-</v>
      </c>
      <c r="I501" s="121" t="str">
        <f>IF(SP_SUL!AC525="","*",SP_SUL!AC525)</f>
        <v>-</v>
      </c>
      <c r="J501" s="122" t="str">
        <f>IF(SP_SUL!AA525="","*",SP_SUL!AA525)</f>
        <v>-</v>
      </c>
      <c r="K501" s="134" t="str">
        <f>IF(SP_SUL!AD525="","*",SP_SUL!AD525)</f>
        <v>-</v>
      </c>
    </row>
    <row r="502" spans="2:11" s="123" customFormat="1" hidden="1">
      <c r="B502" s="120" t="str">
        <f>IF(SP_SUL!Y526="","*",SP_SUL!Y526)</f>
        <v>*</v>
      </c>
      <c r="C502" s="121">
        <f>IF(SP_SUL!B526="","*",SP_SUL!B526)</f>
        <v>46014</v>
      </c>
      <c r="D502" s="121" t="str">
        <f>IF(SP_SUL!D526="","*",SP_SUL!D526)</f>
        <v>JOSÉ  (TF-521)</v>
      </c>
      <c r="E502" s="121" t="str">
        <f>IF(SP_SUL!H526="","*",SP_SUL!H526)</f>
        <v>ZER169</v>
      </c>
      <c r="F502" s="137" t="str">
        <f>IF(SP_SUL!M526="","*",SP_SUL!M526)</f>
        <v>ZER-170</v>
      </c>
      <c r="G502" s="121" t="str">
        <f>IF(SP_SUL!I526="","*",SP_SUL!I526)</f>
        <v>-</v>
      </c>
      <c r="H502" s="121" t="str">
        <f>IF(SP_SUL!AB526="","*",SP_SUL!AB526)</f>
        <v>-</v>
      </c>
      <c r="I502" s="121" t="str">
        <f>IF(SP_SUL!AC526="","*",SP_SUL!AC526)</f>
        <v>*</v>
      </c>
      <c r="J502" s="122" t="str">
        <f>IF(SP_SUL!AA526="","*",SP_SUL!AA526)</f>
        <v>-</v>
      </c>
      <c r="K502" s="134" t="str">
        <f>IF(SP_SUL!AD526="","*",SP_SUL!AD526)</f>
        <v>-</v>
      </c>
    </row>
    <row r="503" spans="2:11" s="123" customFormat="1" hidden="1">
      <c r="B503" s="120" t="str">
        <f>IF(SP_SUL!Y527="","*",SP_SUL!Y527)</f>
        <v>*</v>
      </c>
      <c r="C503" s="121">
        <f>IF(SP_SUL!B527="","*",SP_SUL!B527)</f>
        <v>46014</v>
      </c>
      <c r="D503" s="121" t="str">
        <f>IF(SP_SUL!D527="","*",SP_SUL!D527)</f>
        <v>E42</v>
      </c>
      <c r="E503" s="121" t="str">
        <f>IF(SP_SUL!H527="","*",SP_SUL!H527)</f>
        <v>102ZKW2</v>
      </c>
      <c r="F503" s="137" t="str">
        <f>IF(SP_SUL!M527="","*",SP_SUL!M527)</f>
        <v>ZKW</v>
      </c>
      <c r="G503" s="121" t="str">
        <f>IF(SP_SUL!I527="","*",SP_SUL!I527)</f>
        <v>102ZKW</v>
      </c>
      <c r="H503" s="121" t="str">
        <f>IF(SP_SUL!AB527="","*",SP_SUL!AB527)</f>
        <v>FIXO + ESCALA</v>
      </c>
      <c r="I503" s="121" t="str">
        <f>IF(SP_SUL!AC527="","*",SP_SUL!AC527)</f>
        <v>AGD ACIONAMENTO PCM</v>
      </c>
      <c r="J503" s="122">
        <f>IF(SP_SUL!AA527="","*",SP_SUL!AA527)</f>
        <v>2</v>
      </c>
      <c r="K503" s="134">
        <f>IF(SP_SUL!AD527="","*",SP_SUL!AD527)</f>
        <v>0.33333333333333331</v>
      </c>
    </row>
    <row r="504" spans="2:11" s="123" customFormat="1" hidden="1">
      <c r="B504" s="120" t="str">
        <f>IF(SP_SUL!Y528="","*",SP_SUL!Y528)</f>
        <v>*</v>
      </c>
      <c r="C504" s="121">
        <f>IF(SP_SUL!B528="","*",SP_SUL!B528)</f>
        <v>46014</v>
      </c>
      <c r="D504" s="121" t="str">
        <f>IF(SP_SUL!D528="","*",SP_SUL!D528)</f>
        <v>V89</v>
      </c>
      <c r="E504" s="121" t="str">
        <f>IF(SP_SUL!H528="","*",SP_SUL!H528)</f>
        <v>ZEM1302</v>
      </c>
      <c r="F504" s="137" t="str">
        <f>IF(SP_SUL!M528="","*",SP_SUL!M528)</f>
        <v>ZYQ-ZEM</v>
      </c>
      <c r="G504" s="121" t="str">
        <f>IF(SP_SUL!I528="","*",SP_SUL!I528)</f>
        <v>ZEM1302</v>
      </c>
      <c r="H504" s="121" t="str">
        <f>IF(SP_SUL!AB528="","*",SP_SUL!AB528)</f>
        <v>FIXO</v>
      </c>
      <c r="I504" s="121" t="str">
        <f>IF(SP_SUL!AC528="","*",SP_SUL!AC528)</f>
        <v>ACIONAMENTO</v>
      </c>
      <c r="J504" s="122">
        <f>IF(SP_SUL!AA528="","*",SP_SUL!AA528)</f>
        <v>1</v>
      </c>
      <c r="K504" s="134">
        <f>IF(SP_SUL!AD528="","*",SP_SUL!AD528)</f>
        <v>0.33333333333333331</v>
      </c>
    </row>
    <row r="505" spans="2:11" s="123" customFormat="1" hidden="1">
      <c r="B505" s="120" t="str">
        <f>IF(SP_SUL!Y529="","*",SP_SUL!Y529)</f>
        <v>*</v>
      </c>
      <c r="C505" s="121">
        <f>IF(SP_SUL!B529="","*",SP_SUL!B529)</f>
        <v>46014</v>
      </c>
      <c r="D505" s="121" t="str">
        <f>IF(SP_SUL!D529="","*",SP_SUL!D529)</f>
        <v>DIEGO (TP-681)</v>
      </c>
      <c r="E505" s="121" t="str">
        <f>IF(SP_SUL!H529="","*",SP_SUL!H529)</f>
        <v>-</v>
      </c>
      <c r="F505" s="137" t="str">
        <f>IF(SP_SUL!M529="","*",SP_SUL!M529)</f>
        <v>ZEM-ZEJ</v>
      </c>
      <c r="G505" s="121" t="str">
        <f>IF(SP_SUL!I529="","*",SP_SUL!I529)</f>
        <v>-</v>
      </c>
      <c r="H505" s="121" t="str">
        <f>IF(SP_SUL!AB529="","*",SP_SUL!AB529)</f>
        <v>-</v>
      </c>
      <c r="I505" s="121" t="str">
        <f>IF(SP_SUL!AC529="","*",SP_SUL!AC529)</f>
        <v>*</v>
      </c>
      <c r="J505" s="122" t="str">
        <f>IF(SP_SUL!AA529="","*",SP_SUL!AA529)</f>
        <v>-</v>
      </c>
      <c r="K505" s="134" t="str">
        <f>IF(SP_SUL!AD529="","*",SP_SUL!AD529)</f>
        <v>-</v>
      </c>
    </row>
    <row r="506" spans="2:11" s="123" customFormat="1" hidden="1">
      <c r="B506" s="120" t="str">
        <f>IF(SP_SUL!Y530="","*",SP_SUL!Y530)</f>
        <v>*</v>
      </c>
      <c r="C506" s="121">
        <f>IF(SP_SUL!B530="","*",SP_SUL!B530)</f>
        <v>46014</v>
      </c>
      <c r="D506" s="121" t="str">
        <f>IF(SP_SUL!D530="","*",SP_SUL!D530)</f>
        <v>W60</v>
      </c>
      <c r="E506" s="121" t="str">
        <f>IF(SP_SUL!H530="","*",SP_SUL!H530)</f>
        <v>ZEM1302</v>
      </c>
      <c r="F506" s="137" t="str">
        <f>IF(SP_SUL!M530="","*",SP_SUL!M530)</f>
        <v>ZEJ-ZEV</v>
      </c>
      <c r="G506" s="121" t="str">
        <f>IF(SP_SUL!I530="","*",SP_SUL!I530)</f>
        <v>ZEM1302</v>
      </c>
      <c r="H506" s="121" t="str">
        <f>IF(SP_SUL!AB530="","*",SP_SUL!AB530)</f>
        <v>FIXO</v>
      </c>
      <c r="I506" s="121" t="str">
        <f>IF(SP_SUL!AC530="","*",SP_SUL!AC530)</f>
        <v>ACIONAMENTO</v>
      </c>
      <c r="J506" s="122" t="str">
        <f>IF(SP_SUL!AA530="","*",SP_SUL!AA530)</f>
        <v>2 (Allan + Danilo)</v>
      </c>
      <c r="K506" s="134">
        <f>IF(SP_SUL!AD530="","*",SP_SUL!AD530)</f>
        <v>0.33333333333333331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>
        <f>IF(SP_SUL!B533="","*",SP_SUL!B533)</f>
        <v>46014</v>
      </c>
      <c r="D509" s="121" t="str">
        <f>IF(SP_SUL!D533="","*",SP_SUL!D533)</f>
        <v>DANILO (TP-837)</v>
      </c>
      <c r="E509" s="121" t="str">
        <f>IF(SP_SUL!H533="","*",SP_SUL!H533)</f>
        <v>-</v>
      </c>
      <c r="F509" s="137" t="str">
        <f>IF(SP_SUL!M533="","*",SP_SUL!M533)</f>
        <v>ZLU-ZWI</v>
      </c>
      <c r="G509" s="121" t="str">
        <f>IF(SP_SUL!I533="","*",SP_SUL!I533)</f>
        <v>*</v>
      </c>
      <c r="H509" s="121" t="str">
        <f>IF(SP_SUL!AB533="","*",SP_SUL!AB533)</f>
        <v>-</v>
      </c>
      <c r="I509" s="121" t="str">
        <f>IF(SP_SUL!AC533="","*",SP_SUL!AC533)</f>
        <v>-</v>
      </c>
      <c r="J509" s="122" t="str">
        <f>IF(SP_SUL!AA533="","*",SP_SUL!AA533)</f>
        <v>-</v>
      </c>
      <c r="K509" s="134" t="str">
        <f>IF(SP_SUL!AD533="","*",SP_SUL!AD533)</f>
        <v>-</v>
      </c>
    </row>
    <row r="510" spans="2:11" s="123" customFormat="1" hidden="1">
      <c r="B510" s="120" t="str">
        <f>IF(SP_SUL!Y534="","*",SP_SUL!Y534)</f>
        <v>*</v>
      </c>
      <c r="C510" s="121">
        <f>IF(SP_SUL!B534="","*",SP_SUL!B534)</f>
        <v>46014</v>
      </c>
      <c r="D510" s="121" t="str">
        <f>IF(SP_SUL!D534="","*",SP_SUL!D534)</f>
        <v>WALTER (TP-810)</v>
      </c>
      <c r="E510" s="121" t="str">
        <f>IF(SP_SUL!H534="","*",SP_SUL!H534)</f>
        <v>*</v>
      </c>
      <c r="F510" s="137" t="str">
        <f>IF(SP_SUL!M534="","*",SP_SUL!M534)</f>
        <v>ZWI-ZYQ</v>
      </c>
      <c r="G510" s="121" t="str">
        <f>IF(SP_SUL!I534="","*",SP_SUL!I534)</f>
        <v>*</v>
      </c>
      <c r="H510" s="121" t="str">
        <f>IF(SP_SUL!AB534="","*",SP_SUL!AB534)</f>
        <v>-</v>
      </c>
      <c r="I510" s="121" t="str">
        <f>IF(SP_SUL!AC534="","*",SP_SUL!AC534)</f>
        <v>*</v>
      </c>
      <c r="J510" s="122" t="str">
        <f>IF(SP_SUL!AA534="","*",SP_SUL!AA534)</f>
        <v>-</v>
      </c>
      <c r="K510" s="134" t="str">
        <f>IF(SP_SUL!AD534="","*",SP_SUL!AD534)</f>
        <v>-</v>
      </c>
    </row>
    <row r="511" spans="2:11" s="123" customFormat="1" hidden="1">
      <c r="B511" s="120" t="str">
        <f>IF(SP_SUL!Y535="","*",SP_SUL!Y535)</f>
        <v>*</v>
      </c>
      <c r="C511" s="121">
        <f>IF(SP_SUL!B535="","*",SP_SUL!B535)</f>
        <v>46014</v>
      </c>
      <c r="D511" s="121" t="str">
        <f>IF(SP_SUL!D535="","*",SP_SUL!D535)</f>
        <v>CAIQUE (TP-869)</v>
      </c>
      <c r="E511" s="121" t="str">
        <f>IF(SP_SUL!H535="","*",SP_SUL!H535)</f>
        <v>*</v>
      </c>
      <c r="F511" s="137" t="str">
        <f>IF(SP_SUL!M535="","*",SP_SUL!M535)</f>
        <v>ZWI-ZYQ</v>
      </c>
      <c r="G511" s="121" t="str">
        <f>IF(SP_SUL!I535="","*",SP_SUL!I535)</f>
        <v>*</v>
      </c>
      <c r="H511" s="121" t="str">
        <f>IF(SP_SUL!AB535="","*",SP_SUL!AB535)</f>
        <v>-</v>
      </c>
      <c r="I511" s="121" t="str">
        <f>IF(SP_SUL!AC535="","*",SP_SUL!AC535)</f>
        <v>-</v>
      </c>
      <c r="J511" s="122" t="str">
        <f>IF(SP_SUL!AA535="","*",SP_SUL!AA535)</f>
        <v>-</v>
      </c>
      <c r="K511" s="134" t="str">
        <f>IF(SP_SUL!AD535="","*",SP_SUL!AD535)</f>
        <v>-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>
        <f>IF(SP_SUL!B537="","*",SP_SUL!B537)</f>
        <v>46014</v>
      </c>
      <c r="D513" s="121" t="str">
        <f>IF(SP_SUL!D537="","*",SP_SUL!D537)</f>
        <v>V98</v>
      </c>
      <c r="E513" s="121" t="str">
        <f>IF(SP_SUL!H537="","*",SP_SUL!H537)</f>
        <v>ZEV2</v>
      </c>
      <c r="F513" s="137" t="str">
        <f>IF(SP_SUL!M537="","*",SP_SUL!M537)</f>
        <v>ZEV-ZPG</v>
      </c>
      <c r="G513" s="121" t="str">
        <f>IF(SP_SUL!I537="","*",SP_SUL!I537)</f>
        <v>ZPG</v>
      </c>
      <c r="H513" s="121" t="str">
        <f>IF(SP_SUL!AB537="","*",SP_SUL!AB537)</f>
        <v>FIXO</v>
      </c>
      <c r="I513" s="121" t="str">
        <f>IF(SP_SUL!AC537="","*",SP_SUL!AC537)</f>
        <v>ACIONAMENTO</v>
      </c>
      <c r="J513" s="122">
        <f>IF(SP_SUL!AA537="","*",SP_SUL!AA537)</f>
        <v>1</v>
      </c>
      <c r="K513" s="134">
        <f>IF(SP_SUL!AD537="","*",SP_SUL!AD537)</f>
        <v>0.29166666666666669</v>
      </c>
    </row>
    <row r="514" spans="2:11" s="123" customFormat="1" hidden="1">
      <c r="B514" s="120" t="str">
        <f>IF(SP_SUL!Y538="","*",SP_SUL!Y538)</f>
        <v>*</v>
      </c>
      <c r="C514" s="121">
        <f>IF(SP_SUL!B538="","*",SP_SUL!B538)</f>
        <v>46014</v>
      </c>
      <c r="D514" s="121" t="str">
        <f>IF(SP_SUL!D538="","*",SP_SUL!D538)</f>
        <v>W61</v>
      </c>
      <c r="E514" s="121" t="str">
        <f>IF(SP_SUL!H538="","*",SP_SUL!H538)</f>
        <v>K67ZEV1</v>
      </c>
      <c r="F514" s="137" t="str">
        <f>IF(SP_SUL!M538="","*",SP_SUL!M538)</f>
        <v>ZEV-ZXW</v>
      </c>
      <c r="G514" s="121" t="str">
        <f>IF(SP_SUL!I538="","*",SP_SUL!I538)</f>
        <v>K67ZEV1</v>
      </c>
      <c r="H514" s="121" t="str">
        <f>IF(SP_SUL!AB538="","*",SP_SUL!AB538)</f>
        <v>FIXO</v>
      </c>
      <c r="I514" s="121" t="str">
        <f>IF(SP_SUL!AC538="","*",SP_SUL!AC538)</f>
        <v>ACIONAMENTO</v>
      </c>
      <c r="J514" s="122">
        <f>IF(SP_SUL!AA538="","*",SP_SUL!AA538)</f>
        <v>1</v>
      </c>
      <c r="K514" s="134">
        <f>IF(SP_SUL!AD538="","*",SP_SUL!AD538)</f>
        <v>0.27083333333333331</v>
      </c>
    </row>
    <row r="515" spans="2:11" s="123" customFormat="1" hidden="1">
      <c r="B515" s="120" t="str">
        <f>IF(SP_SUL!Y539="","*",SP_SUL!Y539)</f>
        <v>*</v>
      </c>
      <c r="C515" s="121">
        <f>IF(SP_SUL!B539="","*",SP_SUL!B539)</f>
        <v>46014</v>
      </c>
      <c r="D515" s="121" t="str">
        <f>IF(SP_SUL!D539="","*",SP_SUL!D539)</f>
        <v>ANTONI  (TP-720)</v>
      </c>
      <c r="E515" s="121" t="str">
        <f>IF(SP_SUL!H539="","*",SP_SUL!H539)</f>
        <v>-</v>
      </c>
      <c r="F515" s="137" t="str">
        <f>IF(SP_SUL!M539="","*",SP_SUL!M539)</f>
        <v>ZXW</v>
      </c>
      <c r="G515" s="121" t="str">
        <f>IF(SP_SUL!I539="","*",SP_SUL!I539)</f>
        <v>*</v>
      </c>
      <c r="H515" s="121" t="str">
        <f>IF(SP_SUL!AB539="","*",SP_SUL!AB539)</f>
        <v>-</v>
      </c>
      <c r="I515" s="121" t="str">
        <f>IF(SP_SUL!AC539="","*",SP_SUL!AC539)</f>
        <v>-</v>
      </c>
      <c r="J515" s="122" t="str">
        <f>IF(SP_SUL!AA539="","*",SP_SUL!AA539)</f>
        <v>-</v>
      </c>
      <c r="K515" s="134" t="str">
        <f>IF(SP_SUL!AD539="","*",SP_SUL!AD539)</f>
        <v>-</v>
      </c>
    </row>
    <row r="516" spans="2:11" s="123" customFormat="1" hidden="1">
      <c r="B516" s="120" t="str">
        <f>IF(SP_SUL!Y540="","*",SP_SUL!Y540)</f>
        <v>*</v>
      </c>
      <c r="C516" s="121">
        <f>IF(SP_SUL!B540="","*",SP_SUL!B540)</f>
        <v>46014</v>
      </c>
      <c r="D516" s="121" t="str">
        <f>IF(SP_SUL!D540="","*",SP_SUL!D540)</f>
        <v>W62</v>
      </c>
      <c r="E516" s="121" t="str">
        <f>IF(SP_SUL!H540="","*",SP_SUL!H540)</f>
        <v>ZPT1051</v>
      </c>
      <c r="F516" s="137" t="str">
        <f>IF(SP_SUL!M540="","*",SP_SUL!M540)</f>
        <v>ZPT-ZXW</v>
      </c>
      <c r="G516" s="121" t="str">
        <f>IF(SP_SUL!I540="","*",SP_SUL!I540)</f>
        <v>ZPTZDR</v>
      </c>
      <c r="H516" s="121" t="str">
        <f>IF(SP_SUL!AB540="","*",SP_SUL!AB540)</f>
        <v>FIXO</v>
      </c>
      <c r="I516" s="121" t="str">
        <f>IF(SP_SUL!AC540="","*",SP_SUL!AC540)</f>
        <v>ACIONAMENTO</v>
      </c>
      <c r="J516" s="122">
        <f>IF(SP_SUL!AA540="","*",SP_SUL!AA540)</f>
        <v>1</v>
      </c>
      <c r="K516" s="134">
        <f>IF(SP_SUL!AD540="","*",SP_SUL!AD540)</f>
        <v>0.27083333333333331</v>
      </c>
    </row>
    <row r="517" spans="2:11" s="123" customFormat="1" hidden="1">
      <c r="B517" s="120" t="str">
        <f>IF(SP_SUL!Y541="","*",SP_SUL!Y541)</f>
        <v>*</v>
      </c>
      <c r="C517" s="121">
        <f>IF(SP_SUL!B541="","*",SP_SUL!B541)</f>
        <v>46014</v>
      </c>
      <c r="D517" s="121" t="str">
        <f>IF(SP_SUL!D541="","*",SP_SUL!D541)</f>
        <v>EDSON (TP-719)</v>
      </c>
      <c r="E517" s="121" t="str">
        <f>IF(SP_SUL!H541="","*",SP_SUL!H541)</f>
        <v>-</v>
      </c>
      <c r="F517" s="137" t="str">
        <f>IF(SP_SUL!M541="","*",SP_SUL!M541)</f>
        <v>ZGP-ZWU</v>
      </c>
      <c r="G517" s="121" t="str">
        <f>IF(SP_SUL!I541="","*",SP_SUL!I541)</f>
        <v>-</v>
      </c>
      <c r="H517" s="121" t="str">
        <f>IF(SP_SUL!AB541="","*",SP_SUL!AB541)</f>
        <v>*</v>
      </c>
      <c r="I517" s="121" t="str">
        <f>IF(SP_SUL!AC541="","*",SP_SUL!AC541)</f>
        <v>-</v>
      </c>
      <c r="J517" s="122" t="str">
        <f>IF(SP_SUL!AA541="","*",SP_SUL!AA541)</f>
        <v>-</v>
      </c>
      <c r="K517" s="134" t="str">
        <f>IF(SP_SUL!AD541="","*",SP_SUL!AD541)</f>
        <v>-</v>
      </c>
    </row>
    <row r="518" spans="2:11" s="123" customFormat="1" hidden="1">
      <c r="B518" s="120" t="str">
        <f>IF(SP_SUL!Y542="","*",SP_SUL!Y542)</f>
        <v>*</v>
      </c>
      <c r="C518" s="121">
        <f>IF(SP_SUL!B542="","*",SP_SUL!B542)</f>
        <v>46014</v>
      </c>
      <c r="D518" s="121" t="str">
        <f>IF(SP_SUL!D542="","*",SP_SUL!D542)</f>
        <v>JACIANO (TF-674)</v>
      </c>
      <c r="E518" s="121" t="str">
        <f>IF(SP_SUL!H542="","*",SP_SUL!H542)</f>
        <v>-</v>
      </c>
      <c r="F518" s="137" t="str">
        <f>IF(SP_SUL!M542="","*",SP_SUL!M542)</f>
        <v>PAT-ZGM</v>
      </c>
      <c r="G518" s="121" t="str">
        <f>IF(SP_SUL!I542="","*",SP_SUL!I542)</f>
        <v>-</v>
      </c>
      <c r="H518" s="121" t="str">
        <f>IF(SP_SUL!AB542="","*",SP_SUL!AB542)</f>
        <v>FIXO</v>
      </c>
      <c r="I518" s="121" t="str">
        <f>IF(SP_SUL!AC542="","*",SP_SUL!AC542)</f>
        <v>ACIONAMENTO</v>
      </c>
      <c r="J518" s="122">
        <f>IF(SP_SUL!AA542="","*",SP_SUL!AA542)</f>
        <v>1</v>
      </c>
      <c r="K518" s="134">
        <f>IF(SP_SUL!AD542="","*",SP_SUL!AD542)</f>
        <v>0.33333333333333331</v>
      </c>
    </row>
    <row r="519" spans="2:11" s="123" customFormat="1" hidden="1">
      <c r="B519" s="120" t="str">
        <f>IF(SP_SUL!Y543="","*",SP_SUL!Y543)</f>
        <v>*</v>
      </c>
      <c r="C519" s="121">
        <f>IF(SP_SUL!B543="","*",SP_SUL!B543)</f>
        <v>46014</v>
      </c>
      <c r="D519" s="121" t="str">
        <f>IF(SP_SUL!D543="","*",SP_SUL!D543)</f>
        <v>V85</v>
      </c>
      <c r="E519" s="121" t="str">
        <f>IF(SP_SUL!H543="","*",SP_SUL!H543)</f>
        <v>109ZPT2</v>
      </c>
      <c r="F519" s="137" t="str">
        <f>IF(SP_SUL!M543="","*",SP_SUL!M543)</f>
        <v>ZGM1</v>
      </c>
      <c r="G519" s="121" t="str">
        <f>IF(SP_SUL!I543="","*",SP_SUL!I543)</f>
        <v>ZPTZDR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>
        <f>IF(SP_SUL!B543="","*",SP_SUL!B543)</f>
        <v>46014</v>
      </c>
      <c r="D520" s="121" t="str">
        <f>IF(SP_SUL!D543="","*",SP_SUL!D543)</f>
        <v>V85</v>
      </c>
      <c r="E520" s="121" t="str">
        <f>IF(SP_SUL!H543="","*",SP_SUL!H543)</f>
        <v>109ZPT2</v>
      </c>
      <c r="F520" s="137" t="str">
        <f>IF(SP_SUL!M543="","*",SP_SUL!M543)</f>
        <v>ZGM1</v>
      </c>
      <c r="G520" s="121" t="str">
        <f>IF(SP_SUL!I543="","*",SP_SUL!I543)</f>
        <v>ZPTZDR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2025-12-22T17:24:49Z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