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633" documentId="120_S{118792C3-22EF-5104-A093-F22BFE3913F3}" xr6:coauthVersionLast="47" xr6:coauthVersionMax="47" xr10:uidLastSave="{A9155913-5E0B-49A2-9B3A-570E1D33B188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8" hidden="1">'CONTROLE D+1'!$A$2:$W$1050</definedName>
    <definedName name="_xlnm._FilterDatabase" localSheetId="7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7" i="1" l="1"/>
  <c r="C348" i="1"/>
  <c r="A11" i="1"/>
  <c r="N390" i="1" a="1"/>
  <c r="N390" i="1" s="1"/>
  <c r="M390" i="1" a="1"/>
  <c r="M390" i="1" s="1"/>
  <c r="U395" i="1" a="1"/>
  <c r="U395" i="1" s="1"/>
  <c r="T395" i="1" a="1"/>
  <c r="T395" i="1" s="1"/>
  <c r="S395" i="1" a="1"/>
  <c r="S395" i="1" s="1"/>
  <c r="R395" i="1"/>
  <c r="N395" i="1" a="1"/>
  <c r="N395" i="1" s="1"/>
  <c r="M395" i="1" a="1"/>
  <c r="M395" i="1" s="1"/>
  <c r="G395" i="1"/>
  <c r="U394" i="1" a="1"/>
  <c r="U394" i="1" s="1"/>
  <c r="T394" i="1" a="1"/>
  <c r="T394" i="1" s="1"/>
  <c r="S394" i="1" a="1"/>
  <c r="S394" i="1" s="1"/>
  <c r="R394" i="1"/>
  <c r="N394" i="1" a="1"/>
  <c r="N394" i="1" s="1"/>
  <c r="M394" i="1" a="1"/>
  <c r="M394" i="1" s="1"/>
  <c r="G394" i="1"/>
  <c r="N383" i="1" a="1"/>
  <c r="N383" i="1" s="1"/>
  <c r="M383" i="1" a="1"/>
  <c r="M383" i="1" s="1"/>
  <c r="G383" i="1"/>
  <c r="N382" i="1" a="1"/>
  <c r="N382" i="1" s="1"/>
  <c r="M382" i="1" a="1"/>
  <c r="M382" i="1" s="1"/>
  <c r="G382" i="1"/>
  <c r="N381" i="1" a="1"/>
  <c r="N381" i="1" s="1"/>
  <c r="M381" i="1" a="1"/>
  <c r="M381" i="1" s="1"/>
  <c r="G381" i="1"/>
  <c r="N380" i="1" a="1"/>
  <c r="N380" i="1" s="1"/>
  <c r="M380" i="1" a="1"/>
  <c r="M380" i="1" s="1"/>
  <c r="G380" i="1"/>
  <c r="N379" i="1" a="1"/>
  <c r="N379" i="1" s="1"/>
  <c r="M379" i="1" a="1"/>
  <c r="M379" i="1" s="1"/>
  <c r="G379" i="1"/>
  <c r="G378" i="1"/>
  <c r="N372" i="1" a="1"/>
  <c r="N372" i="1" s="1"/>
  <c r="M372" i="1" a="1"/>
  <c r="M372" i="1" s="1"/>
  <c r="G372" i="1"/>
  <c r="M368" i="1" a="1"/>
  <c r="M368" i="1" s="1"/>
  <c r="G368" i="1"/>
  <c r="H369" i="1" a="1"/>
  <c r="H369" i="1" s="1"/>
  <c r="M369" i="1" a="1"/>
  <c r="M369" i="1" s="1"/>
  <c r="N369" i="1" a="1"/>
  <c r="N369" i="1" s="1"/>
  <c r="M370" i="1" a="1"/>
  <c r="M370" i="1" s="1"/>
  <c r="N370" i="1" a="1"/>
  <c r="N370" i="1" s="1"/>
  <c r="G369" i="1"/>
  <c r="N367" i="1" a="1"/>
  <c r="N367" i="1" s="1"/>
  <c r="M367" i="1" a="1"/>
  <c r="M367" i="1" s="1"/>
  <c r="H367" i="1" a="1"/>
  <c r="H367" i="1" s="1"/>
  <c r="G367" i="1"/>
  <c r="N366" i="1" a="1"/>
  <c r="N366" i="1" s="1"/>
  <c r="M366" i="1" a="1"/>
  <c r="M366" i="1" s="1"/>
  <c r="G366" i="1"/>
  <c r="N365" i="1" a="1"/>
  <c r="N365" i="1" s="1"/>
  <c r="M365" i="1" a="1"/>
  <c r="M365" i="1" s="1"/>
  <c r="G365" i="1"/>
  <c r="N364" i="1" a="1"/>
  <c r="N364" i="1" s="1"/>
  <c r="M364" i="1" a="1"/>
  <c r="M364" i="1" s="1"/>
  <c r="G364" i="1"/>
  <c r="N361" i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 s="1"/>
  <c r="N93" i="1" a="1"/>
  <c r="N93" i="1"/>
  <c r="M93" i="1" a="1"/>
  <c r="M93" i="1"/>
  <c r="F90" i="12" s="1"/>
  <c r="N92" i="1" a="1"/>
  <c r="N92" i="1" s="1"/>
  <c r="M92" i="1" a="1"/>
  <c r="M92" i="1" s="1"/>
  <c r="N91" i="1" a="1"/>
  <c r="N91" i="1"/>
  <c r="M91" i="1" a="1"/>
  <c r="M91" i="1" s="1"/>
  <c r="F88" i="12" s="1"/>
  <c r="N88" i="1" a="1"/>
  <c r="N88" i="1" s="1"/>
  <c r="M88" i="1" a="1"/>
  <c r="M88" i="1"/>
  <c r="F85" i="12" s="1"/>
  <c r="N86" i="1" a="1"/>
  <c r="N86" i="1" s="1"/>
  <c r="M86" i="1" a="1"/>
  <c r="M86" i="1" s="1"/>
  <c r="F83" i="12" s="1"/>
  <c r="N85" i="1" a="1"/>
  <c r="N85" i="1"/>
  <c r="M85" i="1" a="1"/>
  <c r="M85" i="1" s="1"/>
  <c r="F82" i="12" s="1"/>
  <c r="N84" i="1" a="1"/>
  <c r="N84" i="1" s="1"/>
  <c r="M84" i="1" a="1"/>
  <c r="M84" i="1"/>
  <c r="F81" i="12" s="1"/>
  <c r="N83" i="1" a="1"/>
  <c r="N83" i="1" s="1"/>
  <c r="M83" i="1" a="1"/>
  <c r="M83" i="1" s="1"/>
  <c r="F80" i="12" s="1"/>
  <c r="N82" i="1" a="1"/>
  <c r="N82" i="1"/>
  <c r="M82" i="1" a="1"/>
  <c r="M82" i="1" s="1"/>
  <c r="F79" i="12" s="1"/>
  <c r="N79" i="1" a="1"/>
  <c r="N79" i="1" s="1"/>
  <c r="M79" i="1" a="1"/>
  <c r="M79" i="1"/>
  <c r="F76" i="12" s="1"/>
  <c r="N78" i="1" a="1"/>
  <c r="N78" i="1" s="1"/>
  <c r="M78" i="1" a="1"/>
  <c r="M78" i="1" s="1"/>
  <c r="F75" i="12" s="1"/>
  <c r="N77" i="1" a="1"/>
  <c r="N77" i="1"/>
  <c r="M77" i="1" a="1"/>
  <c r="M77" i="1" s="1"/>
  <c r="F74" i="12" s="1"/>
  <c r="N76" i="1" a="1"/>
  <c r="N76" i="1" s="1"/>
  <c r="M76" i="1" a="1"/>
  <c r="M76" i="1"/>
  <c r="F73" i="12" s="1"/>
  <c r="N75" i="1" a="1"/>
  <c r="N75" i="1" s="1"/>
  <c r="M75" i="1" a="1"/>
  <c r="M75" i="1" s="1"/>
  <c r="F72" i="12" s="1"/>
  <c r="N72" i="1" a="1"/>
  <c r="N72" i="1"/>
  <c r="M72" i="1" a="1"/>
  <c r="M72" i="1" s="1"/>
  <c r="F69" i="12" s="1"/>
  <c r="N71" i="1" a="1"/>
  <c r="N71" i="1" s="1"/>
  <c r="AN71" i="1" s="1"/>
  <c r="M71" i="1" a="1"/>
  <c r="M71" i="1"/>
  <c r="F68" i="12" s="1"/>
  <c r="N68" i="1" a="1"/>
  <c r="N68" i="1" s="1"/>
  <c r="M68" i="1" a="1"/>
  <c r="M68" i="1" s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D7" i="1" a="1"/>
  <c r="BD7" i="1" s="1"/>
  <c r="BR7" i="1"/>
  <c r="BS7" i="1"/>
  <c r="BT7" i="1"/>
  <c r="A6" i="1"/>
  <c r="C6" i="1"/>
  <c r="G6" i="1"/>
  <c r="R6" i="1"/>
  <c r="S6" i="1" a="1"/>
  <c r="S6" i="1" s="1"/>
  <c r="T6" i="1" a="1"/>
  <c r="T6" i="1" s="1"/>
  <c r="U6" i="1" a="1"/>
  <c r="U6" i="1" s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R6" i="1"/>
  <c r="BS6" i="1"/>
  <c r="BT8" i="1"/>
  <c r="A769" i="1"/>
  <c r="C769" i="1"/>
  <c r="G769" i="1"/>
  <c r="R769" i="1"/>
  <c r="S769" i="1" a="1"/>
  <c r="S769" i="1" s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 s="1"/>
  <c r="AI19" i="1"/>
  <c r="AJ19" i="1"/>
  <c r="AK19" i="1"/>
  <c r="AL19" i="1"/>
  <c r="AM19" i="1"/>
  <c r="AN19" i="1"/>
  <c r="AO19" i="1"/>
  <c r="BE19" i="1" s="1" a="1"/>
  <c r="BE19" i="1" s="1"/>
  <c r="AP19" i="1"/>
  <c r="BD19" i="1" s="1" a="1"/>
  <c r="BD19" i="1" s="1"/>
  <c r="AQ19" i="1"/>
  <c r="BB19" i="1"/>
  <c r="BC19" i="1" a="1"/>
  <c r="BC19" i="1" s="1"/>
  <c r="BR19" i="1"/>
  <c r="BS19" i="1"/>
  <c r="BT10" i="1"/>
  <c r="C11" i="1"/>
  <c r="G11" i="1"/>
  <c r="R11" i="1"/>
  <c r="S11" i="1" a="1"/>
  <c r="S11" i="1" s="1"/>
  <c r="T11" i="1" a="1"/>
  <c r="T11" i="1" s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R11" i="1"/>
  <c r="BS11" i="1"/>
  <c r="BT11" i="1"/>
  <c r="A774" i="1"/>
  <c r="C774" i="1"/>
  <c r="G774" i="1"/>
  <c r="R774" i="1"/>
  <c r="S774" i="1" a="1"/>
  <c r="S774" i="1" s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 s="1"/>
  <c r="T9" i="1" a="1"/>
  <c r="T9" i="1" s="1"/>
  <c r="U9" i="1" a="1"/>
  <c r="U9" i="1" s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 s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AQ28" i="1"/>
  <c r="BB28" i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BB345" i="1"/>
  <c r="AJ345" i="1"/>
  <c r="AK345" i="1"/>
  <c r="AL345" i="1"/>
  <c r="AO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K359" i="15"/>
  <c r="L359" i="15"/>
  <c r="R362" i="1"/>
  <c r="R359" i="15" s="1"/>
  <c r="D359" i="15"/>
  <c r="E359" i="15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K361" i="15"/>
  <c r="L361" i="15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K362" i="15"/>
  <c r="L362" i="15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K363" i="15"/>
  <c r="L363" i="15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K365" i="15"/>
  <c r="L365" i="15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K366" i="15"/>
  <c r="L366" i="15"/>
  <c r="R369" i="1"/>
  <c r="R366" i="15" s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K369" i="15"/>
  <c r="L369" i="15"/>
  <c r="R372" i="1"/>
  <c r="R369" i="15" s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AL373" i="1"/>
  <c r="AO373" i="1"/>
  <c r="BE373" i="1" s="1" a="1"/>
  <c r="BE373" i="1" s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R373" i="15" s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K376" i="15"/>
  <c r="L376" i="15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K379" i="15"/>
  <c r="L379" i="15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K380" i="15"/>
  <c r="L380" i="15"/>
  <c r="R383" i="1"/>
  <c r="R380" i="15" s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K387" i="15"/>
  <c r="L387" i="15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L390" i="15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K391" i="15"/>
  <c r="L391" i="15"/>
  <c r="D391" i="15"/>
  <c r="E391" i="15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K392" i="15"/>
  <c r="L392" i="15"/>
  <c r="D392" i="15"/>
  <c r="E392" i="15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K393" i="15"/>
  <c r="L393" i="15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R74" i="15" l="1"/>
  <c r="R157" i="15"/>
  <c r="R104" i="15"/>
  <c r="R107" i="15"/>
  <c r="R73" i="15"/>
  <c r="R79" i="15"/>
  <c r="R76" i="15"/>
  <c r="F89" i="12"/>
  <c r="AM92" i="1"/>
  <c r="F92" i="12"/>
  <c r="AM95" i="1"/>
  <c r="E3" i="15"/>
  <c r="BD6" i="1" a="1"/>
  <c r="BD6" i="1" s="1"/>
  <c r="BC7" i="1" a="1"/>
  <c r="BC7" i="1" s="1"/>
  <c r="BC28" i="1" a="1"/>
  <c r="BC28" i="1" s="1"/>
  <c r="BD28" i="1" a="1"/>
  <c r="BD28" i="1" s="1"/>
  <c r="BD11" i="1" a="1"/>
  <c r="BD11" i="1" s="1"/>
  <c r="BE7" i="1" a="1"/>
  <c r="BE7" i="1" s="1"/>
  <c r="BC1001" i="1" a="1"/>
  <c r="BC1001" i="1" s="1"/>
  <c r="BD1001" i="1" a="1"/>
  <c r="BD1001" i="1" s="1"/>
  <c r="BC22" i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<sst xmlns="http://schemas.openxmlformats.org/spreadsheetml/2006/main" count="8087" uniqueCount="1603">
  <si>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</si>
  <si>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</si>
  <si>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</si>
  <si>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</si>
  <si>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</si>
  <si>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</si>
  <si>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</si>
  <si>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</si>
  <si>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</si>
  <si>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</si>
  <si>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</si>
  <si>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</si>
  <si>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</si>
  <si>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</si>
  <si>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</si>
  <si>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</si>
  <si>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</si>
  <si>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</si>
  <si>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</si>
  <si>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</si>
  <si>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</si>
  <si>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</si>
  <si>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</si>
  <si>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</si>
  <si>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</si>
  <si>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</si>
  <si>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</si>
  <si>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</si>
  <si>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</si>
  <si>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</si>
  <si>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</si>
  <si>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</si>
  <si>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</si>
  <si>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</si>
  <si>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</si>
  <si>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</si>
  <si>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</si>
  <si>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</si>
  <si>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</si>
  <si>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</si>
  <si>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</si>
  <si>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</si>
  <si>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</si>
  <si>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</si>
  <si>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</si>
  <si>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</si>
  <si>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</si>
  <si>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</si>
  <si>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</si>
  <si>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</si>
  <si>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</si>
  <si>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</si>
  <si>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</si>
  <si>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</si>
  <si>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</si>
  <si>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</si>
  <si>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</si>
  <si>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</si>
  <si>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</si>
  <si>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</si>
  <si>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</si>
  <si>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</si>
  <si>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</si>
  <si>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</si>
  <si>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</si>
  <si>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</si>
  <si>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</si>
  <si>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</si>
  <si>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</si>
  <si>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</si>
  <si>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</si>
  <si>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</si>
  <si>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</si>
  <si>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</si>
  <si>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</si>
  <si>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</si>
  <si>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</si>
  <si>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</si>
  <si>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</si>
  <si>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</si>
  <si>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</si>
  <si>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</si>
  <si>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</si>
  <si>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</si>
  <si>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</si>
  <si>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</si>
  <si>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</si>
  <si>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</si>
  <si>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</si>
  <si>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</si>
  <si>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</si>
  <si>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</si>
  <si>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</si>
  <si>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</si>
  <si>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</si>
  <si>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</si>
  <si>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</si>
  <si>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</si>
  <si>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</si>
  <si>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</si>
  <si>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</si>
  <si>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</si>
  <si>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</si>
  <si>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</si>
  <si>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</si>
  <si>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</si>
  <si>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</si>
  <si>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</si>
  <si>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</si>
  <si>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</si>
  <si>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</si>
  <si>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</si>
  <si>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</si>
  <si>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</si>
  <si>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</si>
  <si>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</si>
  <si>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</si>
  <si>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</si>
  <si>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</si>
  <si>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</si>
  <si>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</si>
  <si>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</si>
  <si>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</si>
  <si>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</si>
  <si>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</si>
  <si>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</si>
  <si>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</si>
  <si>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</si>
  <si>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</si>
  <si>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</si>
  <si>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</si>
  <si>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</si>
  <si>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</si>
  <si>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</si>
  <si>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</si>
  <si>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</si>
  <si>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</si>
  <si>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</si>
  <si>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</si>
  <si>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</si>
  <si>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</si>
  <si>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</si>
  <si>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</si>
  <si>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</si>
  <si>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</si>
  <si>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</si>
  <si>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</si>
  <si>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</si>
  <si>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</si>
  <si>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</si>
  <si>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</si>
  <si>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</si>
  <si>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</si>
  <si>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</si>
  <si>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</si>
  <si>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</si>
  <si>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</si>
  <si>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</si>
  <si>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</si>
  <si>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</si>
  <si>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</si>
  <si>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</si>
  <si>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</si>
  <si>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</si>
  <si>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</si>
  <si>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</si>
  <si>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</si>
  <si>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</si>
  <si>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</si>
  <si>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</si>
  <si>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</si>
  <si>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</si>
  <si>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</si>
  <si>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</si>
  <si>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</si>
  <si>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</si>
  <si>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</si>
  <si>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</si>
  <si>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</si>
  <si>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</si>
  <si>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</si>
  <si>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</si>
  <si>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</si>
  <si>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</si>
  <si>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</si>
  <si>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</si>
  <si>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</si>
  <si>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</si>
  <si>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</si>
  <si>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</si>
  <si>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</si>
  <si>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</si>
  <si>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</si>
  <si>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</si>
  <si>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</si>
  <si>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</si>
  <si>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</si>
  <si>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</si>
  <si>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</si>
  <si>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</si>
  <si>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</si>
  <si>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</si>
  <si>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</si>
  <si>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</si>
  <si>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</si>
  <si>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</si>
  <si>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</si>
  <si>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</si>
  <si>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</si>
  <si>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</si>
  <si>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</si>
  <si>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</si>
  <si>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</si>
  <si>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</si>
  <si>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</si>
  <si>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</si>
  <si>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</si>
  <si>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</si>
  <si>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</si>
  <si>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</si>
  <si>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</si>
  <si>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</si>
  <si>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</si>
  <si>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</si>
  <si>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</si>
  <si>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</si>
  <si>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</si>
  <si>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</si>
  <si>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</si>
  <si>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</si>
  <si>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</si>
  <si>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</si>
  <si>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</si>
  <si>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</si>
  <si>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</si>
  <si>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</si>
  <si>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</si>
  <si>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</si>
  <si>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</si>
  <si>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</si>
  <si>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</si>
  <si>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</si>
  <si>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</si>
  <si>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</si>
  <si>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</si>
  <si>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</si>
  <si>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</si>
  <si>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</si>
  <si>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</si>
  <si>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</si>
  <si>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</si>
  <si>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</si>
  <si>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</si>
  <si>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</si>
  <si>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</si>
  <si>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</si>
  <si>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</si>
  <si>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</si>
  <si>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</si>
  <si>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</si>
  <si>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</si>
  <si>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</si>
  <si>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</si>
  <si>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</si>
  <si>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</si>
  <si>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</si>
  <si>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</si>
  <si>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</si>
  <si>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</si>
  <si>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</si>
  <si>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</si>
  <si>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</si>
  <si>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</si>
  <si>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</si>
  <si>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</si>
  <si>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</si>
  <si>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</si>
  <si>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</si>
  <si>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</si>
  <si>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</si>
  <si>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</si>
  <si>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</si>
  <si>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</si>
  <si>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</si>
  <si>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</si>
  <si>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</si>
  <si>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</si>
  <si>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</si>
  <si>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</si>
  <si>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</si>
  <si>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</si>
  <si>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</si>
  <si>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</si>
  <si>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</si>
  <si>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</si>
  <si>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</si>
  <si>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</si>
  <si>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</si>
  <si>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</si>
  <si>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</si>
  <si>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</si>
  <si>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</si>
  <si>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</si>
  <si>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</si>
  <si>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</si>
  <si>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</si>
  <si>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</si>
  <si>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</si>
  <si>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</si>
  <si>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</si>
  <si>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</si>
  <si>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</si>
  <si>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</si>
  <si>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</si>
  <si>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</si>
  <si>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</si>
  <si>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</si>
  <si>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</si>
  <si>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</si>
  <si>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</si>
  <si>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</si>
  <si>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</si>
  <si>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</si>
  <si>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</si>
  <si>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</si>
  <si>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</si>
  <si>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</si>
  <si>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</si>
  <si>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</si>
  <si>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</si>
  <si>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</si>
  <si>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</si>
  <si>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</si>
  <si>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</si>
  <si>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</si>
  <si>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</si>
  <si>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</si>
  <si>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</si>
  <si>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</si>
  <si>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</si>
  <si>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</si>
  <si>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</si>
  <si>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</si>
  <si>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</si>
  <si>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</si>
  <si>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</si>
  <si>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</si>
  <si>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</si>
  <si>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</si>
  <si>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</si>
  <si>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</si>
  <si>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</si>
  <si>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</si>
  <si>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</si>
  <si>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</si>
  <si>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</si>
  <si>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</si>
  <si>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</si>
  <si>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</si>
  <si>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</si>
  <si>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</si>
  <si>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</si>
  <si>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</si>
  <si>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</si>
  <si>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</si>
  <si>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</si>
  <si>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</si>
  <si>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</si>
  <si>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</si>
  <si>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</si>
  <si>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</si>
  <si>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</si>
  <si>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</si>
  <si>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</si>
  <si>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</si>
  <si>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</si>
  <si>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</si>
  <si>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</si>
  <si>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</si>
  <si>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</si>
  <si>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</si>
  <si>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</si>
  <si>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</si>
  <si>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</si>
  <si>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</si>
  <si>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</si>
  <si>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</si>
  <si>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</si>
  <si>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</si>
  <si>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</si>
  <si>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</si>
  <si>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</si>
  <si>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</si>
  <si>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</si>
  <si>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</si>
  <si>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</si>
  <si>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</si>
  <si>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</si>
  <si>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</si>
  <si>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</si>
  <si>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</si>
  <si>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</si>
  <si>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</si>
  <si>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</si>
  <si>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</si>
  <si>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</si>
  <si>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</si>
  <si>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</si>
  <si>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</si>
  <si>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</si>
  <si>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</si>
  <si>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</si>
  <si>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</si>
  <si>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</si>
  <si>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</si>
  <si>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</si>
  <si>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</si>
  <si>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</si>
  <si>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</si>
  <si>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</si>
  <si>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</si>
  <si>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</si>
  <si>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</si>
  <si>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</si>
  <si>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</si>
  <si>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</si>
  <si>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</si>
  <si>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</si>
  <si>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</si>
  <si>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</si>
  <si>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</si>
  <si>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</si>
  <si>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</si>
  <si>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</si>
  <si>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</si>
  <si>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</si>
  <si>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</si>
  <si>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</si>
  <si>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</si>
  <si>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</si>
  <si>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</si>
  <si>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</si>
  <si>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</si>
  <si>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</si>
  <si>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</si>
  <si>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</si>
  <si>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</si>
  <si>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</si>
  <si>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</si>
  <si>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</si>
  <si>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</si>
  <si>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</si>
  <si>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</si>
  <si>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</si>
  <si>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</si>
  <si>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</si>
  <si>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</si>
  <si>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</si>
  <si>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</si>
  <si>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</si>
  <si>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</si>
  <si>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</si>
  <si>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</si>
  <si>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</si>
  <si>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</si>
  <si>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</si>
  <si>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</si>
  <si>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</si>
  <si>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</si>
  <si>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</si>
  <si>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</si>
  <si>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</si>
  <si>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</si>
  <si>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</si>
  <si>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</si>
  <si>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</si>
  <si>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</si>
  <si>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</si>
  <si>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</si>
  <si>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</si>
  <si>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</si>
  <si>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</si>
  <si>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</si>
  <si>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</si>
  <si>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</si>
  <si>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</si>
  <si>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</si>
  <si>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</si>
  <si>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</si>
  <si>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</si>
  <si>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</si>
  <si>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</si>
  <si>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</si>
  <si>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</si>
  <si>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</si>
  <si>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</si>
  <si>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</si>
  <si>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</si>
  <si>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</si>
  <si>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</si>
  <si>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</si>
  <si>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</si>
  <si>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</si>
  <si>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</si>
  <si>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</si>
  <si>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</si>
  <si>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</si>
  <si>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</si>
  <si>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</si>
  <si>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</si>
  <si>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</si>
  <si>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</si>
  <si>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</si>
  <si>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</si>
  <si>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</si>
  <si>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</si>
  <si>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</si>
  <si>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</si>
  <si>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</si>
  <si>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</si>
  <si>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</si>
  <si>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</si>
  <si>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</si>
  <si>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</si>
  <si>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</si>
  <si>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</si>
  <si>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</si>
  <si>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</si>
  <si>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</si>
  <si>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</si>
  <si>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</si>
  <si>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</si>
  <si>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</si>
  <si>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</si>
  <si>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</si>
  <si>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</si>
  <si>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</si>
  <si>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</si>
  <si>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</si>
  <si>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</si>
  <si>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</si>
  <si>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</si>
  <si>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</si>
  <si>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</si>
  <si>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</si>
  <si>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</si>
  <si>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</si>
  <si>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</si>
  <si>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</si>
  <si>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</si>
  <si>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</si>
  <si>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</si>
  <si>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</si>
  <si>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</si>
  <si>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</si>
  <si>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</si>
  <si>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</si>
  <si>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</si>
  <si>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</si>
  <si>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</si>
  <si>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</si>
  <si>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</si>
  <si>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</si>
  <si>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</si>
  <si>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</si>
  <si>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</si>
  <si>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</si>
  <si>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</si>
  <si>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</si>
  <si>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</si>
  <si>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</si>
  <si>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</si>
  <si>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</si>
  <si>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</si>
  <si>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</si>
  <si>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</si>
  <si>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</si>
  <si>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</si>
  <si>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</si>
  <si>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</si>
  <si>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</si>
  <si>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</si>
  <si>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</si>
  <si>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</si>
  <si>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</si>
  <si>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</si>
  <si>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</si>
  <si>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</si>
  <si>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</si>
  <si>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</si>
  <si>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</si>
  <si>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</si>
  <si>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</si>
  <si>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</si>
  <si>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</si>
  <si>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</si>
  <si>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</si>
  <si>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</si>
  <si>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</si>
  <si>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</si>
  <si>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</si>
  <si>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</si>
  <si>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</si>
  <si>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</si>
  <si>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</si>
  <si>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</si>
  <si>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</si>
  <si>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</si>
  <si>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</si>
  <si>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</si>
  <si>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</si>
  <si>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</si>
  <si>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</si>
  <si>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</si>
  <si>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</si>
  <si>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</si>
  <si>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</si>
  <si>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</si>
  <si>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</si>
  <si>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</si>
  <si>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</si>
  <si>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</si>
  <si>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</si>
  <si>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</si>
  <si>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</si>
  <si>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</si>
  <si>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</si>
  <si>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</si>
  <si>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</si>
  <si>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</si>
  <si>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</si>
  <si>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</si>
  <si>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</si>
  <si>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</si>
  <si>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</si>
  <si>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</si>
  <si>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</si>
  <si>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</si>
  <si>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</si>
  <si>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</si>
  <si>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</si>
  <si>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</si>
  <si>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</si>
  <si>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</si>
  <si>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</si>
  <si>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</si>
  <si>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</si>
  <si>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</si>
  <si>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</si>
  <si>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</si>
  <si>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</si>
  <si>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</si>
  <si>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</si>
  <si>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</si>
  <si>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</si>
  <si>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</si>
  <si>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</si>
  <si>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</si>
  <si>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</si>
  <si>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</si>
  <si>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</si>
  <si>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</si>
  <si>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</si>
  <si>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</si>
  <si>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</si>
  <si>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</si>
  <si>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</si>
  <si>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</si>
  <si>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</si>
  <si>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</si>
  <si>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</si>
  <si>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</si>
  <si>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</si>
  <si>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</si>
  <si>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</si>
  <si>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</si>
  <si>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</si>
  <si>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</si>
  <si>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</si>
  <si>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</si>
  <si>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</si>
  <si>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</si>
  <si>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</si>
  <si>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</si>
  <si>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</si>
  <si>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</si>
  <si>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</si>
  <si>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</si>
  <si>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</si>
  <si>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</si>
  <si>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</si>
  <si>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</si>
  <si>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</si>
  <si>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</si>
  <si>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</si>
  <si>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</si>
  <si>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</si>
  <si>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</si>
  <si>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</si>
  <si>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</si>
  <si>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</si>
  <si>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</si>
  <si>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</si>
  <si>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</si>
  <si>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</si>
  <si>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</si>
  <si>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</si>
  <si>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</si>
  <si>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</si>
  <si>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</si>
  <si>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</si>
  <si>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</si>
  <si>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</si>
  <si>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</si>
  <si>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</si>
  <si>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</si>
  <si>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</si>
  <si>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</si>
  <si>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</si>
  <si>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</si>
  <si>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</si>
  <si>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</si>
  <si>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</si>
  <si>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</si>
  <si>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</si>
  <si>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</si>
  <si>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</si>
  <si>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</si>
  <si>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</si>
  <si>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</si>
  <si>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</si>
  <si>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</si>
  <si>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</si>
  <si>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</si>
  <si>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</si>
  <si>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</si>
  <si>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</si>
  <si>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</si>
  <si>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</si>
  <si>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</si>
  <si>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</si>
  <si>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</si>
  <si>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</si>
  <si>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</si>
  <si>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</si>
  <si>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</si>
  <si>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</si>
  <si>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</si>
  <si>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</si>
  <si>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</si>
  <si>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</si>
  <si>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</si>
  <si>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</si>
  <si>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</si>
  <si>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</si>
  <si>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</si>
  <si>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</si>
  <si>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</si>
  <si>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</si>
  <si>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</si>
  <si>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</si>
  <si>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</si>
  <si>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</si>
  <si>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</si>
  <si>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</si>
  <si>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</si>
  <si>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</si>
  <si>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</si>
  <si>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</si>
  <si>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</si>
  <si>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</si>
  <si>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</si>
  <si>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</si>
  <si>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</si>
  <si>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</si>
  <si>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</si>
  <si>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</si>
  <si>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</si>
  <si>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</si>
  <si>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</si>
  <si>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</si>
  <si>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</si>
  <si>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</si>
  <si>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</si>
  <si>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</si>
  <si>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</si>
  <si>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</si>
  <si>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</si>
  <si>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</si>
  <si>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</si>
  <si>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</si>
  <si>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</si>
  <si>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</si>
  <si>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</si>
  <si>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</si>
  <si>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</si>
  <si>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</si>
  <si>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</si>
  <si>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</si>
  <si>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</si>
  <si>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</si>
  <si>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</si>
  <si>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</si>
  <si>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</si>
  <si>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</si>
  <si>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</si>
  <si>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</si>
  <si>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</si>
  <si>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</si>
  <si>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</si>
  <si>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</si>
  <si>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</si>
  <si>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</si>
  <si>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</si>
  <si>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</si>
  <si>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</si>
  <si>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</si>
  <si>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</si>
  <si>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</si>
  <si>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</si>
  <si>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</si>
  <si>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</si>
  <si>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</si>
  <si>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</si>
  <si>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</si>
  <si>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</si>
  <si>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</si>
  <si>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</si>
  <si>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</si>
  <si>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</si>
  <si>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</si>
  <si>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</si>
  <si>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</si>
  <si>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</si>
  <si>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</si>
  <si>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</si>
  <si>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</si>
  <si>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</si>
  <si>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</si>
  <si>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</si>
  <si>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</si>
  <si>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</si>
  <si>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</si>
  <si>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</si>
  <si>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</si>
  <si>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</si>
  <si>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</si>
  <si>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</si>
  <si>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</si>
  <si>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</si>
  <si>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</si>
  <si>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</si>
  <si>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</si>
  <si>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</si>
  <si>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</si>
  <si>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</si>
  <si>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</si>
  <si>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</si>
  <si>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</si>
  <si>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</si>
  <si>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</si>
  <si>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</si>
  <si>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</si>
  <si>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</si>
  <si>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</si>
  <si>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</si>
  <si>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</si>
  <si>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</si>
  <si>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</si>
  <si>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</si>
  <si>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</si>
  <si>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</si>
  <si>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</si>
  <si>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</si>
  <si>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</si>
  <si>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</si>
  <si>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</si>
  <si>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</si>
  <si>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</si>
  <si>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</si>
  <si>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</si>
  <si>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</si>
  <si>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</si>
  <si>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</si>
  <si>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</si>
  <si>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</si>
  <si>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</si>
  <si>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</si>
  <si>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</si>
  <si>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</si>
  <si>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</si>
  <si>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</si>
  <si>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</si>
  <si>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</si>
  <si>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</si>
  <si>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</si>
  <si>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</si>
  <si>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</si>
  <si>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</si>
  <si>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</si>
  <si>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</si>
  <si>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</si>
  <si>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</si>
  <si>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</si>
  <si>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</si>
  <si>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</si>
  <si>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</si>
  <si>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</si>
  <si>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</si>
  <si>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</si>
  <si>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</si>
  <si>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</si>
  <si>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</si>
  <si>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</si>
  <si>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</si>
  <si>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</si>
  <si>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</si>
  <si>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</si>
  <si>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</si>
  <si>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</si>
  <si>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</si>
  <si>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</si>
  <si>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</si>
  <si>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</si>
  <si>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</si>
  <si>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</si>
  <si>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</si>
  <si>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</si>
  <si>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</si>
  <si>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</si>
  <si>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</si>
  <si>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</si>
  <si>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</si>
  <si>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</si>
  <si>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</si>
  <si>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</si>
  <si>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</si>
  <si>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</si>
  <si>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</si>
  <si>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</si>
  <si>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</si>
  <si>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</si>
  <si>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</si>
  <si>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</si>
  <si>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</si>
  <si>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</si>
  <si>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</si>
  <si>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</si>
  <si>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</si>
  <si>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</si>
  <si>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</si>
  <si>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</si>
  <si>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</si>
  <si>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</si>
  <si>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</si>
  <si>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</si>
  <si>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</si>
  <si>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</si>
  <si>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</si>
  <si>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</si>
  <si>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</si>
  <si>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</si>
  <si>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</si>
  <si>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</si>
  <si>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</si>
  <si>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</si>
  <si>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</si>
  <si>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</si>
  <si>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</si>
  <si>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</si>
  <si>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</si>
  <si>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</si>
  <si>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</si>
  <si>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</si>
  <si>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</si>
  <si>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</si>
  <si>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</si>
  <si>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</si>
  <si>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</si>
  <si>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</si>
  <si>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</si>
  <si>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</si>
  <si>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</si>
  <si>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</si>
  <si>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</si>
  <si>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</si>
  <si>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</si>
  <si>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</si>
  <si>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</si>
  <si>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</si>
  <si>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</si>
  <si>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</si>
  <si>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</si>
  <si>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</si>
  <si>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</si>
  <si>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</si>
  <si>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</si>
  <si>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</si>
  <si>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</si>
  <si>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</si>
  <si>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</si>
  <si>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</si>
  <si>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</si>
  <si>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</si>
  <si>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</si>
  <si>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</si>
  <si>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</si>
  <si>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</si>
  <si>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</si>
  <si>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</si>
  <si>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</si>
  <si>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</si>
  <si>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</si>
  <si>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</si>
  <si>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</si>
  <si>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</si>
  <si>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</si>
  <si>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</si>
  <si>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</si>
  <si>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</si>
  <si>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</si>
  <si>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</si>
  <si>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</si>
  <si>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</si>
  <si>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</si>
  <si>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</si>
  <si>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</si>
  <si>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</si>
  <si>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</si>
  <si>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</si>
  <si>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</si>
  <si>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</si>
  <si>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</si>
  <si>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</si>
  <si>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</si>
  <si>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</si>
  <si>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</si>
  <si>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</si>
  <si>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</si>
  <si>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</si>
  <si>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</si>
  <si>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</si>
  <si>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</si>
  <si>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</si>
  <si>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</si>
  <si>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</si>
  <si>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</si>
  <si>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</si>
  <si>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</si>
  <si>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</si>
  <si>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</si>
  <si>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</si>
  <si>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</si>
  <si>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</si>
  <si>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</si>
  <si>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</si>
  <si>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</si>
  <si>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</si>
  <si>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</si>
  <si>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</si>
  <si>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</si>
  <si>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</si>
  <si>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</si>
  <si>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</si>
  <si>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</si>
  <si>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</si>
  <si>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</si>
  <si>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</si>
  <si>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</si>
  <si>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</si>
  <si>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</si>
  <si>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</si>
  <si>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</si>
  <si>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</si>
  <si>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</si>
  <si>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</si>
  <si>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</si>
  <si>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</si>
  <si>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</si>
  <si>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</si>
  <si>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</si>
  <si>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</si>
  <si>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</si>
  <si>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</si>
  <si>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</si>
  <si>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</si>
  <si>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</si>
  <si>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</si>
  <si>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</si>
  <si>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</si>
  <si>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</si>
  <si>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</si>
  <si>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</si>
  <si>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</si>
  <si>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</si>
  <si>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</si>
  <si>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</si>
  <si>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</si>
  <si>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</si>
  <si>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</si>
  <si>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</si>
  <si>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</si>
  <si>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</si>
  <si>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</si>
  <si>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</si>
  <si>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</si>
  <si>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</si>
  <si>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</si>
  <si>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</si>
  <si>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</si>
  <si>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</si>
  <si>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</si>
  <si>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</si>
  <si>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</si>
  <si>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</si>
  <si>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</si>
  <si>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</si>
  <si>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</si>
  <si>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</si>
  <si>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</si>
  <si>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</si>
  <si>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</si>
  <si>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</si>
  <si>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</si>
  <si>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</si>
  <si>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</si>
  <si>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</si>
  <si>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</si>
  <si>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</si>
  <si>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</si>
  <si>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</si>
  <si>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</si>
  <si>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</si>
  <si>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</si>
  <si>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</si>
  <si>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</si>
  <si>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</si>
  <si>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</si>
  <si>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</si>
  <si>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</si>
  <si>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</si>
  <si>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</si>
  <si>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</si>
  <si>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</si>
  <si>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</si>
  <si>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</si>
  <si>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</si>
  <si>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</si>
  <si>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</si>
  <si>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</si>
  <si>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</si>
  <si>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</si>
  <si>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</si>
  <si>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</si>
  <si>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</si>
  <si>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</si>
  <si>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</si>
  <si>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</si>
  <si>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</si>
  <si>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</si>
  <si>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</si>
  <si>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</si>
  <si>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</si>
  <si>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</si>
  <si>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</si>
  <si>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</si>
  <si>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</si>
  <si>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</si>
  <si>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</si>
  <si>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</si>
  <si>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</si>
  <si>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</si>
  <si>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</si>
  <si>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</si>
  <si>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</si>
  <si>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</si>
  <si>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</si>
  <si>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</si>
  <si>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</si>
  <si>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</si>
  <si>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</si>
  <si>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</si>
  <si>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</si>
  <si>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</si>
  <si>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</si>
  <si>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</si>
  <si>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</si>
  <si>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</si>
  <si>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</si>
  <si>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</si>
  <si>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</si>
  <si>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</si>
  <si>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</si>
  <si>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</si>
  <si>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</si>
  <si>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</si>
  <si>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</si>
  <si>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</si>
  <si>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</si>
  <si>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</si>
  <si>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</si>
  <si>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</si>
  <si>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</si>
  <si>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</si>
  <si>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</si>
  <si>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</si>
  <si>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</si>
  <si>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</si>
  <si>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</si>
  <si>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</si>
  <si>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</si>
  <si>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</si>
  <si>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</si>
  <si>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</si>
  <si>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</si>
  <si>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</si>
  <si>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</si>
  <si>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</si>
  <si>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</si>
  <si>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</si>
  <si>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</si>
  <si>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</si>
  <si>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</si>
  <si>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</si>
  <si>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</si>
  <si>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</si>
  <si>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</si>
  <si>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</si>
  <si>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</si>
  <si>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</si>
  <si>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</si>
  <si>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</si>
  <si>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</si>
  <si>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</si>
  <si>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</si>
  <si>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</si>
  <si>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</si>
  <si>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</si>
  <si>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</si>
  <si>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</si>
  <si>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</si>
  <si>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</si>
  <si>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</si>
  <si>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</si>
  <si>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</si>
  <si>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</si>
  <si>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</si>
  <si>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</si>
  <si>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</si>
  <si>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</si>
  <si>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</si>
  <si>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</si>
  <si>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</si>
  <si>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</si>
  <si>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</si>
  <si>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</si>
  <si>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</si>
  <si>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</si>
  <si>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</si>
  <si>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</si>
  <si>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</si>
  <si>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</si>
  <si>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</si>
  <si>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</si>
  <si>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</si>
  <si>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</si>
  <si>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</si>
  <si>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</si>
  <si>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</si>
  <si>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</si>
  <si>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</si>
  <si>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</si>
  <si>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</si>
  <si>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</si>
  <si>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</si>
  <si>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</si>
  <si>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</si>
  <si>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</si>
  <si>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</si>
  <si>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</si>
  <si>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</si>
  <si>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</si>
  <si>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</si>
  <si>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</si>
  <si>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</si>
  <si>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</si>
  <si>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</si>
  <si>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</si>
  <si>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</si>
  <si>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</si>
  <si>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</si>
  <si>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</si>
  <si>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</si>
  <si>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</si>
  <si>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</si>
  <si>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</si>
  <si>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</si>
  <si>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</si>
  <si>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</si>
  <si>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</si>
  <si>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</si>
  <si>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</si>
  <si>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</si>
  <si>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</si>
  <si>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</si>
  <si>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</si>
  <si>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</si>
  <si>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</si>
  <si>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</si>
  <si>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</si>
  <si>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</si>
  <si>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</si>
  <si>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</si>
  <si>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</si>
  <si>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</si>
  <si>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</si>
  <si>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</si>
  <si>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</si>
  <si>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</si>
  <si>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</si>
  <si>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</si>
  <si>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</si>
  <si>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</si>
  <si>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</si>
  <si>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</si>
  <si>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</si>
  <si>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</si>
  <si>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</si>
  <si>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</si>
  <si>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</si>
  <si>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</si>
  <si>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</si>
  <si>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</si>
  <si>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</si>
  <si>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</si>
  <si>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</si>
  <si>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</si>
  <si>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</si>
  <si>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</si>
  <si>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</si>
  <si>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</si>
  <si>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</si>
  <si>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</si>
  <si>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</si>
  <si>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</si>
  <si>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</si>
  <si>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</si>
  <si>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</si>
  <si>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</si>
  <si>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</si>
  <si>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</si>
  <si>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</si>
  <si>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</si>
  <si>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</si>
  <si>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</si>
  <si>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</si>
  <si>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</si>
  <si>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</si>
  <si>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</si>
  <si>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</si>
  <si>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</si>
  <si>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</si>
  <si>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</si>
  <si>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</si>
  <si>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</si>
  <si>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</si>
  <si>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</si>
  <si>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</si>
  <si>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</si>
  <si>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</si>
  <si>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</si>
  <si>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</si>
  <si>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</si>
  <si>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</si>
  <si>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</si>
  <si>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</si>
  <si>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</si>
  <si>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</si>
  <si>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</si>
  <si>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</si>
  <si>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</si>
  <si>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</si>
  <si>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</si>
  <si>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</si>
  <si>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</si>
  <si>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</si>
  <si>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</si>
  <si>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</si>
  <si>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</si>
  <si>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</si>
  <si>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</si>
  <si>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</si>
  <si>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</si>
  <si>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</si>
  <si>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</si>
  <si>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</si>
  <si>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</si>
  <si>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</si>
  <si>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</si>
  <si>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</si>
  <si>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</si>
  <si>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</si>
  <si>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</si>
  <si>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</si>
  <si>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</si>
  <si>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</si>
  <si>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</si>
  <si>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</si>
  <si>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</si>
  <si>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</si>
  <si>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</si>
  <si>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</si>
  <si>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</si>
  <si>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</si>
  <si>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</si>
  <si>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</si>
  <si>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</si>
  <si>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</si>
  <si>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</si>
  <si>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</si>
  <si>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</si>
  <si>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</si>
  <si>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</si>
  <si>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</si>
  <si>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</si>
  <si>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</si>
  <si>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</si>
  <si>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</si>
  <si>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</si>
  <si>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</si>
  <si>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</si>
  <si>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</si>
  <si>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</si>
  <si>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</si>
  <si>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</si>
  <si>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</si>
  <si>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</si>
  <si>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</si>
  <si>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</si>
  <si>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</si>
  <si>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</si>
  <si>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</si>
  <si>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</si>
  <si>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</si>
  <si>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</si>
  <si>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</si>
  <si>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</si>
  <si>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</si>
  <si>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</si>
  <si>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</si>
  <si>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</si>
  <si>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</si>
  <si>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</si>
  <si>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</si>
  <si>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</si>
  <si>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</si>
  <si>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</si>
  <si>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</si>
  <si>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</si>
  <si>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</si>
  <si>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</si>
  <si>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</si>
  <si>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</si>
  <si>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</si>
  <si>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</si>
  <si>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</si>
  <si>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</si>
  <si>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</si>
  <si>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</si>
  <si>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>MC1 11h13 / autorizado entrada na via 11h20 / Em deslocamento para ZFH</t>
  </si>
  <si>
    <t xml:space="preserve">MC1 10h14 / </t>
  </si>
  <si>
    <t>MC às 10h14 devido à queda de sistema, ocasionando perda de faixa.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</si>
  <si>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</si>
  <si>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</si>
  <si>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</si>
  <si>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</si>
  <si>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</si>
  <si>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</si>
  <si>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</si>
  <si>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</si>
  <si>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</si>
  <si>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</si>
  <si>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</si>
  <si>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</si>
  <si>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Realizado intervalo bloco das 09h20 até 17h20</t>
  </si>
  <si>
    <t>ZBVZQB</t>
  </si>
  <si>
    <t>ZEM-ZQBZBV</t>
  </si>
  <si>
    <t>ZEMZQBZBV</t>
  </si>
  <si>
    <t>Vanderley</t>
  </si>
  <si>
    <t>Avariou em inspeção no km123+605 via 1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</si>
  <si>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</si>
  <si>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</si>
  <si>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Devido à concessão do intervalo no bloco ZYQ x ZEM, foi alterada a programação para posicionamento de dormentes no km 128+000, via 2. Intervalo realizado.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</si>
  <si>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</si>
  <si>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</si>
  <si>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</si>
  <si>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</si>
  <si>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</si>
  <si>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</si>
  <si>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</si>
  <si>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Alterado programação para via1 / TP pronto 09h27 / Sem oportunidade de faixa</t>
  </si>
  <si>
    <t>TP pronto 09h03 / Sem oportundiade de faixa</t>
  </si>
  <si>
    <t>TP pronto 09h02 / Confirma a cauda do L48 e me informe.</t>
  </si>
  <si>
    <t>TP pronto 09h02 / Sem oportunidade de faixa</t>
  </si>
  <si>
    <t>TP pronto 08h10 / Em intervalo das 09h24 até 10h24</t>
  </si>
  <si>
    <t>TP pronto 08h10 / Realizado intervalo das 09h24 até 10h24</t>
  </si>
  <si>
    <t>Saulo</t>
  </si>
  <si>
    <t xml:space="preserve">MC1 10h00 / previsão de faixa após L48 / </t>
  </si>
  <si>
    <t>Em deslocamento</t>
  </si>
  <si>
    <t>ZQBZBV-ZRX</t>
  </si>
  <si>
    <t>ZYU-1</t>
  </si>
  <si>
    <t xml:space="preserve">PDM - Descarga de dormentes </t>
  </si>
  <si>
    <t xml:space="preserve">MC1 09h22 / </t>
  </si>
  <si>
    <t xml:space="preserve">TP pronto 09h21 / </t>
  </si>
  <si>
    <t>Cancelado, sem acesso no local de trabalho, devido chuva.</t>
  </si>
  <si>
    <t>Recolhimeno de tampão</t>
  </si>
  <si>
    <t>ZEM-ZKE</t>
  </si>
  <si>
    <t xml:space="preserve">Devido diagnostico da mec, necessário o abastecimento de areia, alterado a programação para realizar abastecimento em ZKE / MC1 08h29 / </t>
  </si>
  <si>
    <t xml:space="preserve">TP pronto 10h36 / </t>
  </si>
  <si>
    <t>Bloco Modernização</t>
  </si>
  <si>
    <t>Em intervalo das 10h00 até 20h00</t>
  </si>
  <si>
    <t>Deslocamento de ZEM-1 até o km147+520 entre 148ZEJ-2</t>
  </si>
  <si>
    <t>Deslocamento de ZEM-1 até km150+100 entre ZRB150-2</t>
  </si>
  <si>
    <t>Deslocamento de ZEM-1 até km 150+150 entre ZRB150-2</t>
  </si>
  <si>
    <t>W97 + V96 Deslocamento em comboio de ZEV até km 150+600 entre ZRB150-2</t>
  </si>
  <si>
    <t xml:space="preserve">TP pronto 07h29 / </t>
  </si>
  <si>
    <t xml:space="preserve">TP pronto 09h17 /  Previsão de faixa após X84 / </t>
  </si>
  <si>
    <t>Horário limite de abertura do intervalo: 09:30h
Duração: 10h00 com interdição total de ZGP2, 105ZGP-2 e ZPT105-2</t>
  </si>
  <si>
    <t>Aguardando ativos posicionar no bloc</t>
  </si>
  <si>
    <t>Previsão de pronto 10h00</t>
  </si>
  <si>
    <t>Descarga de dormentes + Recolha de dormentes + Descarga de pedra</t>
  </si>
  <si>
    <t>ZEV-1</t>
  </si>
  <si>
    <t>ZPT-ZEV</t>
  </si>
  <si>
    <t xml:space="preserve">MC1 07h39 / 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</si>
  <si>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</si>
  <si>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</si>
  <si>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</si>
  <si>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</si>
  <si>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</si>
  <si>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</si>
  <si>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</si>
  <si>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</si>
  <si>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</si>
  <si>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</si>
  <si>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</si>
  <si>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</si>
  <si>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</si>
  <si>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</si>
  <si>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</si>
  <si>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</si>
  <si>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</si>
  <si>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</si>
  <si>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</si>
  <si>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</si>
  <si>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</si>
  <si>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</si>
  <si>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</si>
  <si>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</si>
  <si>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</si>
  <si>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</si>
  <si>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</si>
  <si>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</si>
  <si>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</si>
  <si>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</si>
  <si>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</si>
  <si>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</si>
  <si>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</si>
  <si>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</si>
  <si>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</si>
  <si>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</si>
  <si>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</si>
  <si>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</si>
  <si>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</si>
  <si>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</si>
  <si>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</si>
  <si>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</si>
  <si>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</si>
  <si>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</si>
  <si>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</si>
  <si>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</si>
  <si>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</si>
  <si>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</si>
  <si>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</si>
  <si>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Loco em ZTO  T52 9227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</si>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</sst>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AL1" activePane="topRight" state="frozen"/>
      <selection pane="topRight" activeCell="BJ375" sqref="BJ37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8" t="s">
        <v>919</v>
      </c>
      <c r="C1" s="199"/>
      <c r="D1" s="199"/>
      <c r="E1" s="3"/>
      <c r="F1" s="198" t="s">
        <v>920</v>
      </c>
      <c r="G1" s="199"/>
      <c r="H1" s="200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9"/>
      <c r="U1" s="199"/>
      <c r="V1" s="199"/>
      <c r="W1" s="199"/>
      <c r="X1" s="199"/>
      <c r="Y1" s="199"/>
      <c r="Z1" s="199"/>
      <c r="AA1" s="199"/>
      <c r="AB1" s="199"/>
      <c r="AC1" s="199"/>
      <c r="AD1" s="199"/>
      <c r="AE1" s="199"/>
      <c r="AF1" s="199"/>
      <c r="AG1" s="201"/>
      <c r="AH1" s="5"/>
      <c r="AI1" s="208" t="s">
        <v>921</v>
      </c>
      <c r="AJ1" s="209"/>
      <c r="AK1" s="209"/>
      <c r="AL1" s="209"/>
      <c r="AM1" s="210"/>
      <c r="AN1" s="211"/>
      <c r="AO1" s="209"/>
      <c r="AP1" s="209"/>
      <c r="AQ1" s="209"/>
      <c r="AR1" s="209"/>
      <c r="AS1" s="209"/>
      <c r="AT1" s="209"/>
      <c r="AU1" s="209"/>
      <c r="AV1" s="209"/>
      <c r="AW1" s="209"/>
      <c r="AX1" s="209"/>
      <c r="AY1" s="209"/>
      <c r="AZ1" s="209"/>
      <c r="BA1" s="209"/>
      <c r="BB1" s="209"/>
      <c r="BC1" s="209"/>
      <c r="BD1" s="209"/>
      <c r="BE1" s="209"/>
      <c r="BF1" s="212"/>
      <c r="BG1" s="5"/>
      <c r="BH1" s="213" t="s">
        <v>922</v>
      </c>
      <c r="BI1" s="214"/>
      <c r="BJ1" s="214"/>
      <c r="BK1" s="215"/>
      <c r="BL1" s="5"/>
      <c r="BM1" s="205" t="s">
        <v>923</v>
      </c>
      <c r="BN1" s="206"/>
      <c r="BO1" s="206"/>
      <c r="BP1" s="206"/>
      <c r="BQ1" s="206"/>
      <c r="BR1" s="206"/>
      <c r="BS1" s="207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8" t="s">
        <v>924</v>
      </c>
      <c r="AJ2" s="209"/>
      <c r="AK2" s="209"/>
      <c r="AL2" s="209"/>
      <c r="AM2" s="210"/>
      <c r="AN2" s="211"/>
      <c r="AO2" s="209"/>
      <c r="AP2" s="209"/>
      <c r="AQ2" s="212"/>
      <c r="AR2" s="6"/>
      <c r="AS2" s="208" t="s">
        <v>927</v>
      </c>
      <c r="AT2" s="209"/>
      <c r="AU2" s="209"/>
      <c r="AV2" s="209"/>
      <c r="AW2" s="209"/>
      <c r="AX2" s="209"/>
      <c r="AY2" s="212"/>
      <c r="AZ2" s="6"/>
      <c r="BA2" s="202" t="s">
        <v>928</v>
      </c>
      <c r="BB2" s="204"/>
      <c r="BC2" s="208" t="s">
        <v>925</v>
      </c>
      <c r="BD2" s="209"/>
      <c r="BE2" s="209"/>
      <c r="BF2" s="212"/>
      <c r="BG2" s="5"/>
      <c r="BH2" s="216"/>
      <c r="BI2" s="217"/>
      <c r="BJ2" s="217"/>
      <c r="BK2" s="218"/>
      <c r="BL2" s="5"/>
      <c r="BM2" s="219"/>
      <c r="BN2" s="220"/>
      <c r="BO2" s="220"/>
      <c r="BP2" s="220"/>
      <c r="BQ2" s="220"/>
      <c r="BR2" s="220"/>
      <c r="BS2" s="221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02" t="s">
        <v>929</v>
      </c>
      <c r="AJ3" s="204"/>
      <c r="AK3" s="202" t="s">
        <v>930</v>
      </c>
      <c r="AL3" s="203"/>
      <c r="AM3" s="224"/>
      <c r="AN3" s="225"/>
      <c r="AO3" s="203"/>
      <c r="AP3" s="203"/>
      <c r="AQ3" s="204"/>
      <c r="AR3" s="63"/>
      <c r="AS3" s="196" t="s">
        <v>936</v>
      </c>
      <c r="AT3" s="197"/>
      <c r="AU3" s="196" t="s">
        <v>937</v>
      </c>
      <c r="AV3" s="197"/>
      <c r="AW3" s="196" t="s">
        <v>938</v>
      </c>
      <c r="AX3" s="197"/>
      <c r="AY3" s="63" t="s">
        <v>939</v>
      </c>
      <c r="AZ3" s="63"/>
      <c r="BA3" s="222"/>
      <c r="BB3" s="223"/>
      <c r="BC3" s="202" t="s">
        <v>932</v>
      </c>
      <c r="BD3" s="203"/>
      <c r="BE3" s="203"/>
      <c r="BF3" s="204"/>
      <c r="BG3" s="62"/>
      <c r="BH3" s="216"/>
      <c r="BI3" s="217"/>
      <c r="BJ3" s="217"/>
      <c r="BK3" s="218"/>
      <c r="BL3" s="62"/>
      <c r="BM3" s="205" t="s">
        <v>940</v>
      </c>
      <c r="BN3" s="206"/>
      <c r="BO3" s="206"/>
      <c r="BP3" s="207"/>
      <c r="BQ3" s="205" t="s">
        <v>707</v>
      </c>
      <c r="BR3" s="206"/>
      <c r="BS3" s="207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407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ExpansãoOK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1376</v>
      </c>
      <c r="BK263" s="176" t="s">
        <v>1377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1377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1381</v>
      </c>
      <c r="BK266" s="176" t="s">
        <v>1382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1383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1385</v>
      </c>
      <c r="BK270" s="176" t="s">
        <v>1385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1386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1387</v>
      </c>
      <c r="BK273" s="176" t="s">
        <v>1388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1389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1389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1390</v>
      </c>
      <c r="BK276" s="17" t="s">
        <v>1391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1391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1392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1393</v>
      </c>
      <c r="BK278" s="17" t="s">
        <v>1393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1393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1392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1393</v>
      </c>
      <c r="BK279" s="17" t="s">
        <v>1393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1393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1392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1393</v>
      </c>
      <c r="BK280" s="17" t="s">
        <v>1393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1393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1392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1393</v>
      </c>
      <c r="BK281" s="17" t="s">
        <v>1393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1393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1394</v>
      </c>
      <c r="BK285" s="176" t="s">
        <v>1394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1395</v>
      </c>
      <c r="BK286" s="176" t="s">
        <v>1395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1396</v>
      </c>
      <c r="N289" s="127" t="s">
        <v>1397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1398</v>
      </c>
      <c r="BK289" s="176" t="s">
        <v>1398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1399</v>
      </c>
      <c r="N290" s="127" t="s">
        <v>1400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1402</v>
      </c>
      <c r="BK290" s="18" t="s">
        <v>1403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1404</v>
      </c>
      <c r="BK291" s="18" t="s">
        <v>1405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1405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1406</v>
      </c>
      <c r="BK294" s="17" t="s">
        <v>1407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1407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1408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1409</v>
      </c>
      <c r="BK295" s="17" t="s">
        <v>1409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1409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1410</v>
      </c>
      <c r="BK296" s="17" t="s">
        <v>1411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1411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1412</v>
      </c>
      <c r="BK297" s="17" t="s">
        <v>1413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1413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1414</v>
      </c>
      <c r="BK298" s="17" t="s">
        <v>1414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1414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1415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1416</v>
      </c>
      <c r="BK299" s="17" t="s">
        <v>1417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1417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1418</v>
      </c>
      <c r="BK300" s="17" t="s">
        <v>1419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1419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1420</v>
      </c>
      <c r="BK301" s="17" t="s">
        <v>1421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1421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1407</v>
      </c>
      <c r="BK302" s="17" t="s">
        <v>1407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1407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1422</v>
      </c>
      <c r="I303" s="106" t="s">
        <v>1423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1424</v>
      </c>
      <c r="BK303" s="17" t="s">
        <v>1424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1425</v>
      </c>
      <c r="BK304" s="17" t="s">
        <v>1426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1426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1427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1425</v>
      </c>
      <c r="BK305" s="18" t="s">
        <v>1428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1428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1427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1425</v>
      </c>
      <c r="BK306" s="18" t="s">
        <v>1428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1428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1429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1425</v>
      </c>
      <c r="BK307" s="18" t="s">
        <v>1430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1430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1425</v>
      </c>
      <c r="BK308" s="18" t="s">
        <v>1430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1430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1431</v>
      </c>
      <c r="BK309" s="18" t="s">
        <v>1432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1432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1433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1434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1435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1436</v>
      </c>
      <c r="BK311" s="17" t="s">
        <v>1436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1437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1438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1439</v>
      </c>
      <c r="BK312" s="17" t="s">
        <v>1439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1439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1440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1441</v>
      </c>
      <c r="BK313" s="17" t="s">
        <v>1441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1439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1442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1443</v>
      </c>
      <c r="BK314" s="17" t="s">
        <v>1443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1443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1392</v>
      </c>
      <c r="W315" s="151" t="s">
        <v>1444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1445</v>
      </c>
      <c r="BK315" s="17" t="s">
        <v>1445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1445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1392</v>
      </c>
      <c r="W316" s="151" t="s">
        <v>1444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1446</v>
      </c>
      <c r="BK316" s="17" t="s">
        <v>1446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1446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1447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1448</v>
      </c>
      <c r="BK318" s="17" t="s">
        <v>1449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1450</v>
      </c>
      <c r="BK319" s="17" t="s">
        <v>1451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1452</v>
      </c>
      <c r="BK320" s="17" t="s">
        <v>1453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1454</v>
      </c>
      <c r="BK322" s="176" t="s">
        <v>1454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1454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1455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1456</v>
      </c>
      <c r="BK323" s="17" t="s">
        <v>1457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1458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1459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1460</v>
      </c>
      <c r="BK324" s="17" t="s">
        <v>1461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1458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1401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1403</v>
      </c>
      <c r="BK325" s="17" t="s">
        <v>1462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1407</v>
      </c>
      <c r="BK326" s="17" t="s">
        <v>1407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1407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1407</v>
      </c>
      <c r="BK327" s="17" t="s">
        <v>1407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1407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1463</v>
      </c>
      <c r="BK328" s="17" t="s">
        <v>1464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>
        <v>0</v>
      </c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1465</v>
      </c>
      <c r="BK330" s="17" t="s">
        <v>1465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1465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1466</v>
      </c>
      <c r="N331" s="127" t="s">
        <v>1466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1467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>
        <v>0.47222222222222221</v>
      </c>
      <c r="AT331" s="108">
        <v>0.51388888888888884</v>
      </c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4.166666666666663E-2</v>
      </c>
      <c r="AZ331" s="153"/>
      <c r="BA331" s="109">
        <v>1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>
        <v>2</v>
      </c>
      <c r="BI331" s="17"/>
      <c r="BJ331" s="17" t="s">
        <v>1468</v>
      </c>
      <c r="BK331" s="176" t="s">
        <v>1469</v>
      </c>
      <c r="BL331" s="16"/>
      <c r="BM331" s="130" t="s">
        <v>410</v>
      </c>
      <c r="BN331" s="130" t="s">
        <v>410</v>
      </c>
      <c r="BO331" s="130" t="s">
        <v>410</v>
      </c>
      <c r="BP331" s="18" t="s">
        <v>558</v>
      </c>
      <c r="BQ331" s="12" t="str">
        <f>IF(AND(BR331&lt;1,BS331&lt;1),"Produção e Intervalo",IF(BR331&lt;1,"Intervalo",IF(BS331&lt;1,"Produção","Aderente")))</f>
        <v>Intervalo</v>
      </c>
      <c r="BR331" s="19">
        <f>IF(OR(B331="",F331=""),"*",AY331/P331)</f>
        <v>0.99999999999999911</v>
      </c>
      <c r="BS331" s="19">
        <f>IF(OR(B331="",F331=""),"*",BA331/Q331)</f>
        <v>1</v>
      </c>
      <c r="BT331" s="8" t="str">
        <f t="shared" si="8"/>
        <v>OKOK</v>
      </c>
    </row>
    <row r="332" spans="1:72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1408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>
        <v>0</v>
      </c>
      <c r="AT332" s="108">
        <v>0</v>
      </c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>
        <v>0</v>
      </c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>
        <v>0</v>
      </c>
      <c r="BI332" s="17"/>
      <c r="BJ332" s="17" t="s">
        <v>1470</v>
      </c>
      <c r="BK332" s="18" t="s">
        <v>1471</v>
      </c>
      <c r="BL332" s="16"/>
      <c r="BM332" s="130" t="s">
        <v>397</v>
      </c>
      <c r="BN332" s="130" t="s">
        <v>419</v>
      </c>
      <c r="BO332" s="130" t="s">
        <v>483</v>
      </c>
      <c r="BP332" s="18" t="s">
        <v>1471</v>
      </c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>TISistema</v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1472</v>
      </c>
      <c r="BK333" s="17" t="s">
        <v>1472</v>
      </c>
      <c r="BL333" s="16"/>
      <c r="BM333" s="130" t="s">
        <v>405</v>
      </c>
      <c r="BN333" s="130" t="s">
        <v>434</v>
      </c>
      <c r="BO333" s="130" t="s">
        <v>495</v>
      </c>
      <c r="BP333" s="17" t="s">
        <v>1472</v>
      </c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>CCOCirculaçãoIntervaloOportunidade</v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>
        <v>0</v>
      </c>
      <c r="BI334" s="17"/>
      <c r="BJ334" s="17" t="s">
        <v>1473</v>
      </c>
      <c r="BK334" s="17" t="s">
        <v>1473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1473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1474</v>
      </c>
      <c r="BK335" s="17" t="s">
        <v>1474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1474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28.5" customHeight="1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1415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1475</v>
      </c>
      <c r="BK336" s="17" t="s">
        <v>1475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1475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1465</v>
      </c>
      <c r="BK337" s="17" t="s">
        <v>1465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1465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1465</v>
      </c>
      <c r="BK338" s="17" t="s">
        <v>1465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1465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1476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1477</v>
      </c>
      <c r="N339" s="127" t="s">
        <v>1478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>
        <v>105</v>
      </c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2</v>
      </c>
      <c r="BI339" s="17"/>
      <c r="BJ339" s="17" t="s">
        <v>1479</v>
      </c>
      <c r="BK339" s="17" t="s">
        <v>1172</v>
      </c>
      <c r="BL339" s="16"/>
      <c r="BM339" s="130" t="s">
        <v>410</v>
      </c>
      <c r="BN339" s="130" t="s">
        <v>410</v>
      </c>
      <c r="BO339" s="130" t="s">
        <v>410</v>
      </c>
      <c r="BP339" s="18" t="s">
        <v>558</v>
      </c>
      <c r="BQ339" s="12" t="str">
        <f>IF(AND(BR339&lt;1,BS339&lt;1),"Produção e Intervalo",IF(BR339&lt;1,"Intervalo",IF(BS339&lt;1,"Produção","Aderente")))</f>
        <v>Intervalo</v>
      </c>
      <c r="BR339" s="19">
        <f>IF(OR(B339="",F339=""),"*",AY339/P339)</f>
        <v>0.99999999999999911</v>
      </c>
      <c r="BS339" s="19">
        <f>IF(OR(B339="",F339=""),"*",BA339/Q339)</f>
        <v>1</v>
      </c>
      <c r="BT339" s="8" t="str">
        <f t="shared" si="8"/>
        <v>OKOK</v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1480</v>
      </c>
      <c r="I340" s="106" t="s">
        <v>1480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1481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>
        <v>0</v>
      </c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1482</v>
      </c>
      <c r="BK340" s="17" t="s">
        <v>1482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1482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>
        <v>2</v>
      </c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2</v>
      </c>
      <c r="BI341" s="17"/>
      <c r="BJ341" s="17" t="s">
        <v>1483</v>
      </c>
      <c r="BK341" s="17" t="s">
        <v>1484</v>
      </c>
      <c r="BL341" s="16"/>
      <c r="BM341" s="130" t="s">
        <v>410</v>
      </c>
      <c r="BN341" s="130" t="s">
        <v>410</v>
      </c>
      <c r="BO341" s="130" t="s">
        <v>410</v>
      </c>
      <c r="BP341" s="18" t="s">
        <v>558</v>
      </c>
      <c r="BQ341" s="12" t="str">
        <f>IF(AND(BR341&lt;1,BS341&lt;1),"Produção e Intervalo",IF(BR341&lt;1,"Intervalo",IF(BS341&lt;1,"Produção","Aderente")))</f>
        <v>Aderente</v>
      </c>
      <c r="BR341" s="19">
        <f>IF(OR(B341="",F341=""),"*",AY341/P341)</f>
        <v>5.333333333333333</v>
      </c>
      <c r="BS341" s="19">
        <f>IF(OR(B341="",F341=""),"*",BA341/Q341)</f>
        <v>2</v>
      </c>
      <c r="BT341" s="8" t="str">
        <f t="shared" si="8"/>
        <v>OKOK</v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>
        <v>1</v>
      </c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2</v>
      </c>
      <c r="BI342" s="17"/>
      <c r="BJ342" s="17" t="s">
        <v>1483</v>
      </c>
      <c r="BK342" s="17" t="s">
        <v>1484</v>
      </c>
      <c r="BL342" s="16"/>
      <c r="BM342" s="130" t="s">
        <v>410</v>
      </c>
      <c r="BN342" s="130" t="s">
        <v>410</v>
      </c>
      <c r="BO342" s="130" t="s">
        <v>410</v>
      </c>
      <c r="BP342" s="18" t="s">
        <v>558</v>
      </c>
      <c r="BQ342" s="12" t="str">
        <f>IF(AND(BR342&lt;1,BS342&lt;1),"Produção e Intervalo",IF(BR342&lt;1,"Intervalo",IF(BS342&lt;1,"Produção","Aderente")))</f>
        <v>Aderente</v>
      </c>
      <c r="BR342" s="19">
        <f>IF(OR(B342="",F342=""),"*",AY342/P342)</f>
        <v>5.333333333333333</v>
      </c>
      <c r="BS342" s="19">
        <f>IF(OR(B342="",F342=""),"*",BA342/Q342)</f>
        <v>1</v>
      </c>
      <c r="BT342" s="8" t="str">
        <f t="shared" si="8"/>
        <v>OKOK</v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>
        <v>1750</v>
      </c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2</v>
      </c>
      <c r="BI343" s="17"/>
      <c r="BJ343" s="17" t="s">
        <v>1483</v>
      </c>
      <c r="BK343" s="17" t="s">
        <v>1484</v>
      </c>
      <c r="BL343" s="16"/>
      <c r="BM343" s="130" t="s">
        <v>410</v>
      </c>
      <c r="BN343" s="130" t="s">
        <v>410</v>
      </c>
      <c r="BO343" s="130" t="s">
        <v>410</v>
      </c>
      <c r="BP343" s="18" t="s">
        <v>558</v>
      </c>
      <c r="BQ343" s="12" t="str">
        <f>IF(AND(BR343&lt;1,BS343&lt;1),"Produção e Intervalo",IF(BR343&lt;1,"Intervalo",IF(BS343&lt;1,"Produção","Aderente")))</f>
        <v>Aderente</v>
      </c>
      <c r="BR343" s="19">
        <f>IF(OR(B343="",F343=""),"*",AY343/P343)</f>
        <v>4</v>
      </c>
      <c r="BS343" s="19">
        <f>IF(OR(B343="",F343=""),"*",BA343/Q343)</f>
        <v>3.6458333333333335</v>
      </c>
      <c r="BT343" s="8" t="str">
        <f t="shared" si="8"/>
        <v>OKOK</v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1485</v>
      </c>
      <c r="J344" s="105">
        <v>48</v>
      </c>
      <c r="K344" s="105">
        <v>135</v>
      </c>
      <c r="L344" s="105"/>
      <c r="M344" s="127" t="s">
        <v>1486</v>
      </c>
      <c r="N344" s="127" t="s">
        <v>1487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1488</v>
      </c>
      <c r="W344" s="151" t="s">
        <v>1401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>
        <v>1</v>
      </c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2</v>
      </c>
      <c r="BI344" s="17"/>
      <c r="BJ344" s="17" t="s">
        <v>1431</v>
      </c>
      <c r="BK344" s="18" t="s">
        <v>1489</v>
      </c>
      <c r="BL344" s="16"/>
      <c r="BM344" s="130" t="s">
        <v>410</v>
      </c>
      <c r="BN344" s="130" t="s">
        <v>410</v>
      </c>
      <c r="BO344" s="130" t="s">
        <v>410</v>
      </c>
      <c r="BP344" s="18"/>
      <c r="BQ344" s="12" t="str">
        <f>IF(AND(BR344&lt;1,BS344&lt;1),"Produção e Intervalo",IF(BR344&lt;1,"Intervalo",IF(BS344&lt;1,"Produção","Aderente")))</f>
        <v>Aderente</v>
      </c>
      <c r="BR344" s="19">
        <f>IF(OR(B344="",F344=""),"*",AY344/P344)</f>
        <v>1.0000000000000004</v>
      </c>
      <c r="BS344" s="19">
        <f>IF(OR(B344="",F344=""),"*",BA344/Q344)</f>
        <v>1</v>
      </c>
      <c r="BT344" s="8" t="str">
        <f t="shared" si="8"/>
        <v>OKOK</v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1490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">
        <v>701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">
        <v>51</v>
      </c>
      <c r="AN345" s="105" t="s">
        <v>194</v>
      </c>
      <c r="AO345" s="105">
        <f>IF(BS_CONTROLE[[#This Row],[SUB]]=0, "-", BS_CONTROLE[[#This Row],[SUB]])</f>
        <v>55</v>
      </c>
      <c r="AP345" s="105">
        <v>128</v>
      </c>
      <c r="AQ345" s="105" t="s">
        <v>558</v>
      </c>
      <c r="AR345" s="108">
        <v>0.375</v>
      </c>
      <c r="AS345" s="108">
        <v>0.3888888888888889</v>
      </c>
      <c r="AT345" s="108">
        <v>0.51388888888888884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0.12499999999999994</v>
      </c>
      <c r="AZ345" s="153"/>
      <c r="BA345" s="109">
        <v>1</v>
      </c>
      <c r="BB345" s="10" t="str">
        <f>IFERROR(_xlfn.XLOOKUP(AI345, BS_ATIVIDADE[ATIVIDADE],BS_ATIVIDADE[UNIDADE] ), "*")</f>
        <v>BINÁRIO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2</v>
      </c>
      <c r="BI345" s="17"/>
      <c r="BJ345" s="17" t="s">
        <v>1491</v>
      </c>
      <c r="BK345" s="17" t="s">
        <v>1492</v>
      </c>
      <c r="BL345" s="16"/>
      <c r="BM345" s="130" t="s">
        <v>406</v>
      </c>
      <c r="BN345" s="130" t="s">
        <v>435</v>
      </c>
      <c r="BO345" s="130" t="s">
        <v>486</v>
      </c>
      <c r="BP345" s="17" t="s">
        <v>1492</v>
      </c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2.2499999999999991</v>
      </c>
      <c r="BS345" s="19">
        <f>IF(OR(B345="",F345=""),"*",BA345/Q345)</f>
        <v>3.3333333333333335E-3</v>
      </c>
      <c r="BT345" s="8" t="str">
        <f t="shared" si="8"/>
        <v>SuperExecução</v>
      </c>
    </row>
    <row r="346" spans="1:72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>
        <v>1</v>
      </c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 t="s">
        <v>1493</v>
      </c>
      <c r="BK346" s="17" t="s">
        <v>1493</v>
      </c>
      <c r="BL346" s="16"/>
      <c r="BM346" s="130" t="s">
        <v>410</v>
      </c>
      <c r="BN346" s="130" t="s">
        <v>410</v>
      </c>
      <c r="BO346" s="130" t="s">
        <v>410</v>
      </c>
      <c r="BP346" s="18"/>
      <c r="BQ346" s="12" t="str">
        <f>IF(AND(BR346&lt;1,BS346&lt;1),"Produção e Intervalo",IF(BR346&lt;1,"Intervalo",IF(BS346&lt;1,"Produção","Aderente")))</f>
        <v>Aderente</v>
      </c>
      <c r="BR346" s="19">
        <f>IF(OR(B346="",F346=""),"*",AY346/P346)</f>
        <v>1</v>
      </c>
      <c r="BS346" s="19">
        <f>IF(OR(B346="",F346=""),"*",BA346/Q346)</f>
        <v>1</v>
      </c>
      <c r="BT346" s="8" t="str">
        <f t="shared" si="8"/>
        <v>OKOK</v>
      </c>
    </row>
    <row r="347" spans="1:72">
      <c r="A347" s="47" t="str">
        <f>D347&amp;B347</f>
        <v>EDSON (TP-719)46092</v>
      </c>
      <c r="B347" s="102">
        <v>46092</v>
      </c>
      <c r="C347" s="135">
        <f>IF(BS_CONTROLE[[#This Row],[DATA]]="","",WEEKNUM(BS_CONTROLE[[#This Row],[DATA]]))</f>
        <v>11</v>
      </c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6.9444444444444447E-4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>
        <v>103</v>
      </c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 t="s">
        <v>1483</v>
      </c>
      <c r="BK347" s="17" t="s">
        <v>1484</v>
      </c>
      <c r="BL347" s="16"/>
      <c r="BM347" s="130" t="s">
        <v>410</v>
      </c>
      <c r="BN347" s="130" t="s">
        <v>410</v>
      </c>
      <c r="BO347" s="130" t="s">
        <v>410</v>
      </c>
      <c r="BP347" s="18" t="s">
        <v>558</v>
      </c>
      <c r="BQ347" s="12" t="str">
        <f>IF(AND(BR347&lt;1,BS347&lt;1),"Produção e Intervalo",IF(BR347&lt;1,"Intervalo",IF(BS347&lt;1,"Produção","Aderente")))</f>
        <v>Aderente</v>
      </c>
      <c r="BR347" s="19">
        <f>IF(OR(B347="",F347=""),"*",AY347/P347)</f>
        <v>479.99999999999994</v>
      </c>
      <c r="BS347" s="19">
        <f>IF(OR(B347="",F347=""),"*",BA347/Q347)</f>
        <v>1.4714285714285715</v>
      </c>
      <c r="BT347" s="8" t="str">
        <f t="shared" si="8"/>
        <v>OKOK</v>
      </c>
    </row>
    <row r="348" spans="1:72">
      <c r="A348" s="47" t="str">
        <f>D348&amp;B348</f>
        <v>EDSON (TP-780)46092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841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6.9444444444444447E-4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>
        <v>101</v>
      </c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2</v>
      </c>
      <c r="BI348" s="17"/>
      <c r="BJ348" s="17" t="s">
        <v>1483</v>
      </c>
      <c r="BK348" s="17" t="s">
        <v>1484</v>
      </c>
      <c r="BL348" s="16"/>
      <c r="BM348" s="130" t="s">
        <v>410</v>
      </c>
      <c r="BN348" s="130" t="s">
        <v>410</v>
      </c>
      <c r="BO348" s="130" t="s">
        <v>410</v>
      </c>
      <c r="BP348" s="18" t="s">
        <v>558</v>
      </c>
      <c r="BQ348" s="12" t="str">
        <f>IF(AND(BR348&lt;1,BS348&lt;1),"Produção e Intervalo",IF(BR348&lt;1,"Intervalo",IF(BS348&lt;1,"Produção","Aderente")))</f>
        <v>Aderente</v>
      </c>
      <c r="BR348" s="19">
        <f>IF(OR(B348="",F348=""),"*",AY348/P348)</f>
        <v>479.99999999999994</v>
      </c>
      <c r="BS348" s="19">
        <f>IF(OR(B348="",F348=""),"*",BA348/Q348)</f>
        <v>1.4428571428571428</v>
      </c>
      <c r="BT348" s="8" t="str">
        <f t="shared" si="8"/>
        <v>OKOK</v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>
        <v>0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1465</v>
      </c>
      <c r="BK349" s="17" t="s">
        <v>1465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1465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1465</v>
      </c>
      <c r="BK350" s="17" t="s">
        <v>1465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1465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>
        <v>0</v>
      </c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1465</v>
      </c>
      <c r="BK351" s="17" t="s">
        <v>1465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1465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1494</v>
      </c>
      <c r="J352" s="105">
        <v>92</v>
      </c>
      <c r="K352" s="105">
        <v>65.3</v>
      </c>
      <c r="L352" s="105" t="s">
        <v>558</v>
      </c>
      <c r="M352" s="127" t="s">
        <v>1495</v>
      </c>
      <c r="N352" s="127" t="s">
        <v>1496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>
        <v>60</v>
      </c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2</v>
      </c>
      <c r="BI352" s="17"/>
      <c r="BJ352" s="17" t="s">
        <v>1497</v>
      </c>
      <c r="BK352" s="17" t="s">
        <v>1497</v>
      </c>
      <c r="BL352" s="16"/>
      <c r="BM352" s="130" t="s">
        <v>410</v>
      </c>
      <c r="BN352" s="130" t="s">
        <v>410</v>
      </c>
      <c r="BO352" s="130" t="s">
        <v>410</v>
      </c>
      <c r="BP352" s="18"/>
      <c r="BQ352" s="12" t="str">
        <f>IF(AND(BR352&lt;1,BS352&lt;1),"Produção e Intervalo",IF(BR352&lt;1,"Intervalo",IF(BS352&lt;1,"Produção","Aderente")))</f>
        <v>Aderente</v>
      </c>
      <c r="BR352" s="19">
        <f>IF(OR(B352="",F352=""),"*",AY352/P352)</f>
        <v>1.0000000000000004</v>
      </c>
      <c r="BS352" s="19">
        <f>IF(OR(B352="",F352=""),"*",BA352/Q352)</f>
        <v>1</v>
      </c>
      <c r="BT352" s="8" t="str">
        <f t="shared" si="8"/>
        <v>OKOK</v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1498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>
        <v>0</v>
      </c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>
        <v>0</v>
      </c>
      <c r="BI353" s="17"/>
      <c r="BJ353" s="17" t="s">
        <v>1499</v>
      </c>
      <c r="BK353" s="176" t="s">
        <v>1500</v>
      </c>
      <c r="BL353" s="16"/>
      <c r="BM353" s="130" t="s">
        <v>406</v>
      </c>
      <c r="BN353" s="130" t="s">
        <v>435</v>
      </c>
      <c r="BO353" s="130" t="s">
        <v>486</v>
      </c>
      <c r="BP353" s="176" t="s">
        <v>1500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SuperExecução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1501</v>
      </c>
      <c r="BK354" s="176" t="s">
        <v>1501</v>
      </c>
      <c r="BL354" s="16"/>
      <c r="BM354" s="130" t="s">
        <v>405</v>
      </c>
      <c r="BN354" s="130" t="s">
        <v>434</v>
      </c>
      <c r="BO354" s="130" t="s">
        <v>495</v>
      </c>
      <c r="BP354" s="176" t="s">
        <v>1501</v>
      </c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>CCOCirculaçãoIntervaloOportunidade</v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>
        <v>0</v>
      </c>
      <c r="AT355" s="108">
        <v>0</v>
      </c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>
        <v>0</v>
      </c>
      <c r="BI355" s="17"/>
      <c r="BJ355" s="17" t="s">
        <v>1502</v>
      </c>
      <c r="BK355" s="110" t="s">
        <v>1503</v>
      </c>
      <c r="BL355" s="16"/>
      <c r="BM355" s="130" t="s">
        <v>405</v>
      </c>
      <c r="BN355" s="130" t="s">
        <v>434</v>
      </c>
      <c r="BO355" s="130" t="s">
        <v>495</v>
      </c>
      <c r="BP355" s="110" t="s">
        <v>1503</v>
      </c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>CCOCirculaçãoIntervaloOportunidade</v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1465</v>
      </c>
      <c r="BK356" s="176" t="s">
        <v>1465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1465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>
        <v>52</v>
      </c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2</v>
      </c>
      <c r="BI357" s="17"/>
      <c r="BJ357" s="17" t="s">
        <v>1504</v>
      </c>
      <c r="BK357" s="17" t="s">
        <v>1505</v>
      </c>
      <c r="BL357" s="16"/>
      <c r="BM357" s="130" t="s">
        <v>405</v>
      </c>
      <c r="BN357" s="130" t="s">
        <v>434</v>
      </c>
      <c r="BO357" s="130" t="s">
        <v>512</v>
      </c>
      <c r="BP357" s="17" t="s">
        <v>1505</v>
      </c>
      <c r="BQ357" s="12" t="str">
        <f>IF(AND(BR357&lt;1,BS357&lt;1),"Produção e Intervalo",IF(BR357&lt;1,"Intervalo",IF(BS357&lt;1,"Produção","Aderente")))</f>
        <v>Intervalo</v>
      </c>
      <c r="BR357" s="19">
        <f>IF(OR(B357="",F357=""),"*",AY357/P357)</f>
        <v>0.66666666666666696</v>
      </c>
      <c r="BS357" s="19">
        <f>IF(OR(B357="",F357=""),"*",BA357/Q357)</f>
        <v>1.7333333333333334</v>
      </c>
      <c r="BT357" s="8" t="str">
        <f t="shared" si="8"/>
        <v>CCOCirculaçãoIntervaloOportunidade</v>
      </c>
    </row>
    <row r="358" spans="1:72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1506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2</v>
      </c>
      <c r="BI358" s="17"/>
      <c r="BJ358" s="17" t="s">
        <v>1507</v>
      </c>
      <c r="BK358" s="18" t="s">
        <v>1508</v>
      </c>
      <c r="BL358" s="16"/>
      <c r="BM358" s="130" t="s">
        <v>410</v>
      </c>
      <c r="BN358" s="130" t="s">
        <v>410</v>
      </c>
      <c r="BO358" s="130" t="s">
        <v>410</v>
      </c>
      <c r="BP358" s="18"/>
      <c r="BQ358" s="12" t="str">
        <f>IF(AND(BR358&lt;1,BS358&lt;1),"Produção e Intervalo",IF(BR358&lt;1,"Intervalo",IF(BS358&lt;1,"Produção","Aderente")))</f>
        <v>Aderente</v>
      </c>
      <c r="BR358" s="19">
        <f>IF(OR(B358="",F358=""),"*",AY358/P358)</f>
        <v>1.0000000000000018</v>
      </c>
      <c r="BS358" s="19">
        <f>IF(OR(B358="",F358=""),"*",BA358/Q358)</f>
        <v>1</v>
      </c>
      <c r="BT358" s="8" t="str">
        <f t="shared" si="8"/>
        <v>OKOK</v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 t="s">
        <v>389</v>
      </c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>
        <v>0</v>
      </c>
      <c r="AS360" s="108">
        <v>0</v>
      </c>
      <c r="AT360" s="108">
        <v>0</v>
      </c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>
        <v>0</v>
      </c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>
        <v>0</v>
      </c>
      <c r="BI360" s="17"/>
      <c r="BJ360" s="17" t="s">
        <v>1368</v>
      </c>
      <c r="BK360" s="17" t="s">
        <v>1368</v>
      </c>
      <c r="BL360" s="16"/>
      <c r="BM360" s="130" t="s">
        <v>412</v>
      </c>
      <c r="BN360" s="130"/>
      <c r="BO360" s="130"/>
      <c r="BP360" s="18"/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/>
      </c>
    </row>
    <row r="361" spans="1:72" hidden="1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8.3333333333333329E-2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 t="s">
        <v>389</v>
      </c>
      <c r="Z361" s="104"/>
      <c r="AA361" s="105" t="s">
        <v>1408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/>
      <c r="AS361" s="108"/>
      <c r="AT361" s="108"/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0</v>
      </c>
      <c r="AZ361" s="153"/>
      <c r="BA361" s="109"/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/>
      <c r="BI361" s="17"/>
      <c r="BJ361" s="17" t="s">
        <v>1431</v>
      </c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Produção e Intervalo</v>
      </c>
      <c r="BR361" s="19">
        <f>IF(OR(B361="",F361=""),"*",AY361/P361)</f>
        <v>0</v>
      </c>
      <c r="BS361" s="19">
        <f>IF(OR(B361="",F361=""),"*",BA361/Q361)</f>
        <v>0</v>
      </c>
      <c r="BT361" s="8" t="str">
        <f t="shared" si="8"/>
        <v/>
      </c>
    </row>
    <row r="362" spans="1:72" hidden="1">
      <c r="A362" s="47" t="str">
        <f>D362&amp;B362</f>
        <v>A74</v>
      </c>
      <c r="B362" s="102"/>
      <c r="C362" s="135" t="str">
        <f>IF(BS_CONTROLE[[#This Row],[DATA]]="","",WEEKNUM(BS_CONTROLE[[#This Row],[DATA]]))</f>
        <v/>
      </c>
      <c r="D362" s="104" t="s">
        <v>681</v>
      </c>
      <c r="E362" s="159"/>
      <c r="F362" s="126" t="s">
        <v>579</v>
      </c>
      <c r="G362" s="142"/>
      <c r="H362" s="106" t="s">
        <v>1485</v>
      </c>
      <c r="I362" s="106" t="s">
        <v>333</v>
      </c>
      <c r="J362" s="105">
        <v>68</v>
      </c>
      <c r="K362" s="105">
        <v>52</v>
      </c>
      <c r="L362" s="105"/>
      <c r="M362" s="127" t="s">
        <v>1509</v>
      </c>
      <c r="N362" s="127" t="s">
        <v>1279</v>
      </c>
      <c r="O362" s="106">
        <v>0.33333333333333331</v>
      </c>
      <c r="P362" s="106">
        <v>4.1666666666666664E-2</v>
      </c>
      <c r="Q362" s="105">
        <v>60</v>
      </c>
      <c r="R362" s="10" t="str">
        <f>IFERROR(_xlfn.XLOOKUP(F362, BS_ATIVIDADE[ATIVIDADE],BS_ATIVIDADE[UNIDADE] ), "*")</f>
        <v>KM</v>
      </c>
      <c r="S362" s="128" t="s">
        <v>8</v>
      </c>
      <c r="T362" s="128" t="s">
        <v>261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 t="s">
        <v>1017</v>
      </c>
      <c r="W362" s="151" t="s">
        <v>1243</v>
      </c>
      <c r="X362" s="104" t="s">
        <v>386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DETECÇÃO - RONDA 7 DIAS</v>
      </c>
      <c r="AJ362" s="9" t="str">
        <f>IF(BS_CONTROLE[[#This Row],[Atividade]]=0, "-", BS_CONTROLE[[#This Row],[Atividade]])</f>
        <v>DETECÇÃO - RONDA 7 DIAS</v>
      </c>
      <c r="AK362" s="31" t="str">
        <f>BS_CONTROLE[[#This Row],[Local - Partida]]</f>
        <v>ZBVZQB</v>
      </c>
      <c r="AL362" s="31" t="str">
        <f>BS_CONTROLE[[#This Row],[Local - Encerramento]]</f>
        <v>ZRX</v>
      </c>
      <c r="AM362" s="105" t="str">
        <f>IF(BS_CONTROLE[[#This Row],[Entre - Estações]]=0, "-", BS_CONTROLE[[#This Row],[Entre - Estações]])</f>
        <v>ZQBZBV-ZRX</v>
      </c>
      <c r="AN362" s="105" t="str">
        <f>IF(BS_CONTROLE[[#This Row],[SB]]=0, "-", BS_CONTROLE[[#This Row],[SB]])</f>
        <v>ZQBZBVZRX</v>
      </c>
      <c r="AO362" s="105">
        <f>IF(BS_CONTROLE[[#This Row],[SUB]]=0, "-", BS_CONTROLE[[#This Row],[SUB]])</f>
        <v>68</v>
      </c>
      <c r="AP362" s="105">
        <f>BS_CONTROLE[[#This Row],[KM - Inicio]]</f>
        <v>52</v>
      </c>
      <c r="AQ362" s="105">
        <f>BS_CONTROLE[[#This Row],[KM - Inicio]]</f>
        <v>52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KM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>W5946093</v>
      </c>
      <c r="B364" s="102">
        <v>46093</v>
      </c>
      <c r="C364" s="135">
        <f>IF(BS_CONTROLE[[#This Row],[DATA]]="","",WEEKNUM(BS_CONTROLE[[#This Row],[DATA]]))</f>
        <v>11</v>
      </c>
      <c r="D364" s="104" t="s">
        <v>790</v>
      </c>
      <c r="E364" s="159">
        <v>356</v>
      </c>
      <c r="F364" s="126" t="s">
        <v>721</v>
      </c>
      <c r="G364" s="142" t="str">
        <f>IF(D364="","*",VLOOKUP(F364,BS_ATIVIDADE[],3,FALSE))</f>
        <v>DORMENTE - DESCARGA</v>
      </c>
      <c r="H364" s="106" t="s">
        <v>1510</v>
      </c>
      <c r="I364" s="106" t="s">
        <v>1510</v>
      </c>
      <c r="J364" s="105">
        <v>56</v>
      </c>
      <c r="K364" s="105">
        <v>253.7</v>
      </c>
      <c r="L364" s="105">
        <v>252.042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4" s="106">
        <v>0.33333333333333331</v>
      </c>
      <c r="P364" s="106">
        <v>6.25E-2</v>
      </c>
      <c r="Q364" s="105">
        <v>567</v>
      </c>
      <c r="R364" s="10" t="str">
        <f>IFERROR(_xlfn.XLOOKUP(F364, BS_ATIVIDADE[ATIVIDADE],BS_ATIVIDADE[UNIDADE] ), "*")</f>
        <v>Nº DE DORMENTES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4" s="105" t="s">
        <v>1284</v>
      </c>
      <c r="W364" s="151" t="s">
        <v>1511</v>
      </c>
      <c r="X364" s="104" t="s">
        <v>386</v>
      </c>
      <c r="Y364" s="129" t="s">
        <v>389</v>
      </c>
      <c r="Z364" s="104"/>
      <c r="AA364" s="105" t="s">
        <v>1176</v>
      </c>
      <c r="AB364" s="103" t="s">
        <v>377</v>
      </c>
      <c r="AC364" s="152" t="s">
        <v>371</v>
      </c>
      <c r="AD364" s="107">
        <v>0.29166666666666669</v>
      </c>
      <c r="AE364" s="105">
        <v>7629</v>
      </c>
      <c r="AF364" s="105"/>
      <c r="AG364" s="105"/>
      <c r="AH364" s="15"/>
      <c r="AI364" s="126" t="str">
        <f>IF(BS_CONTROLE[[#This Row],[Atividade]]=0, "-", BS_CONTROLE[[#This Row],[Atividade]])</f>
        <v>PDM - DESCARGA - DORMENTE</v>
      </c>
      <c r="AJ364" s="9" t="str">
        <f>IF(BS_CONTROLE[[#This Row],[Atividade]]=0, "-", BS_CONTROLE[[#This Row],[Atividade]])</f>
        <v>PDM - DESCARGA - DORMENTE</v>
      </c>
      <c r="AK364" s="31" t="str">
        <f>BS_CONTROLE[[#This Row],[Local - Partida]]</f>
        <v>ZYU-1</v>
      </c>
      <c r="AL364" s="31" t="str">
        <f>BS_CONTROLE[[#This Row],[Local - Encerramento]]</f>
        <v>ZYU-1</v>
      </c>
      <c r="AM364" s="105" t="str">
        <f>IF(BS_CONTROLE[[#This Row],[Entre - Estações]]=0, "-", BS_CONTROLE[[#This Row],[Entre - Estações]])</f>
        <v>ZQB-ZBV</v>
      </c>
      <c r="AN364" s="105" t="str">
        <f>IF(BS_CONTROLE[[#This Row],[SB]]=0, "-", BS_CONTROLE[[#This Row],[SB]])</f>
        <v>ZQBZBL</v>
      </c>
      <c r="AO364" s="105">
        <f>IF(BS_CONTROLE[[#This Row],[SUB]]=0, "-", BS_CONTROLE[[#This Row],[SUB]])</f>
        <v>56</v>
      </c>
      <c r="AP364" s="105">
        <f>BS_CONTROLE[[#This Row],[KM - Inicio]]</f>
        <v>253.7</v>
      </c>
      <c r="AQ364" s="105">
        <f>BS_CONTROLE[[#This Row],[KM - Inicio]]</f>
        <v>253.7</v>
      </c>
      <c r="AR364" s="108">
        <v>0.39027777777777778</v>
      </c>
      <c r="AS364" s="108"/>
      <c r="AT364" s="108"/>
      <c r="AU364" s="136"/>
      <c r="AV364" s="136"/>
      <c r="AW364" s="14"/>
      <c r="AX364" s="14"/>
      <c r="AY364" s="164">
        <f>IF(D364="","*",IFERROR(IF(ISODD(COUNT(AS364:AX364)),"ERRO",SUM((AT364-AS364),(AV364-AU364),(AX364-AW364))),"ERRO"))</f>
        <v>0</v>
      </c>
      <c r="AZ364" s="153"/>
      <c r="BA364" s="109"/>
      <c r="BB364" s="10" t="str">
        <f>IFERROR(_xlfn.XLOOKUP(AI364, BS_ATIVIDADE[ATIVIDADE],BS_ATIVIDADE[UNIDADE] ), "*")</f>
        <v>Nº DE DORMENTES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4" s="150"/>
      <c r="BG364" s="16"/>
      <c r="BH364" s="17"/>
      <c r="BI364" s="17"/>
      <c r="BJ364" s="17" t="s">
        <v>1512</v>
      </c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Produção e Intervalo</v>
      </c>
      <c r="BR364" s="19">
        <f>IF(OR(B364="",F364=""),"*",AY364/P364)</f>
        <v>0</v>
      </c>
      <c r="BS364" s="19">
        <f>IF(OR(B364="",F364=""),"*",BA364/Q364)</f>
        <v>0</v>
      </c>
      <c r="BT364" s="8" t="str">
        <f t="shared" si="8"/>
        <v/>
      </c>
    </row>
    <row r="365" spans="1:72" hidden="1">
      <c r="A365" s="47" t="str">
        <f>D365&amp;B365</f>
        <v>JOSÉ (TP-879)46093</v>
      </c>
      <c r="B365" s="102">
        <v>46093</v>
      </c>
      <c r="C365" s="135">
        <f>IF(BS_CONTROLE[[#This Row],[DATA]]="","",WEEKNUM(BS_CONTROLE[[#This Row],[DATA]]))</f>
        <v>11</v>
      </c>
      <c r="D365" s="104" t="s">
        <v>865</v>
      </c>
      <c r="E365" s="159">
        <v>325</v>
      </c>
      <c r="F365" s="126" t="s">
        <v>744</v>
      </c>
      <c r="G365" s="142" t="str">
        <f>IF(D365="","*",VLOOKUP(F365,BS_ATIVIDADE[],3,FALSE))</f>
        <v>DORMENTE - SUBSTITUIÇÂO</v>
      </c>
      <c r="H365" s="106" t="s">
        <v>558</v>
      </c>
      <c r="I365" s="106"/>
      <c r="J365" s="105">
        <v>56</v>
      </c>
      <c r="K365" s="105">
        <v>253.7</v>
      </c>
      <c r="L365" s="105" t="s">
        <v>558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5" s="106">
        <v>0.375</v>
      </c>
      <c r="P365" s="106">
        <v>6.25E-2</v>
      </c>
      <c r="Q365" s="105">
        <v>30</v>
      </c>
      <c r="R365" s="10" t="str">
        <f>IFERROR(_xlfn.XLOOKUP(F365, BS_ATIVIDADE[ATIVIDADE],BS_ATIVIDADE[UNIDADE] ), "*")</f>
        <v>Nº DE DORMENTES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5" s="105" t="s">
        <v>1284</v>
      </c>
      <c r="W365" s="151" t="s">
        <v>1054</v>
      </c>
      <c r="X365" s="104" t="s">
        <v>386</v>
      </c>
      <c r="Y365" s="129" t="s">
        <v>389</v>
      </c>
      <c r="Z365" s="104"/>
      <c r="AA365" s="105" t="s">
        <v>558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PDM - SUBSTITUIÇÃO - DORMENTE</v>
      </c>
      <c r="AJ365" s="9" t="str">
        <f>IF(BS_CONTROLE[[#This Row],[Atividade]]=0, "-", BS_CONTROLE[[#This Row],[Atividade]])</f>
        <v>PDM - SUBSTITUIÇÃO - DORMENTE</v>
      </c>
      <c r="AK365" s="31" t="str">
        <f>BS_CONTROLE[[#This Row],[Local - Partida]]</f>
        <v>-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ZQB-ZBV</v>
      </c>
      <c r="AN365" s="105" t="str">
        <f>IF(BS_CONTROLE[[#This Row],[SB]]=0, "-", BS_CONTROLE[[#This Row],[SB]])</f>
        <v>ZQBZBL</v>
      </c>
      <c r="AO365" s="105">
        <f>IF(BS_CONTROLE[[#This Row],[SUB]]=0, "-", BS_CONTROLE[[#This Row],[SUB]])</f>
        <v>56</v>
      </c>
      <c r="AP365" s="105">
        <f>BS_CONTROLE[[#This Row],[KM - Inicio]]</f>
        <v>253.7</v>
      </c>
      <c r="AQ365" s="105">
        <f>BS_CONTROLE[[#This Row],[KM - Inicio]]</f>
        <v>253.7</v>
      </c>
      <c r="AR365" s="108"/>
      <c r="AS365" s="108"/>
      <c r="AT365" s="108"/>
      <c r="AU365" s="136"/>
      <c r="AV365" s="136"/>
      <c r="AW365" s="14"/>
      <c r="AX365" s="14"/>
      <c r="AY365" s="164">
        <f>IF(D365="","*",IFERROR(IF(ISODD(COUNT(AS365:AX365)),"ERRO",SUM((AT365-AS365),(AV365-AU365),(AX365-AW365))),"ERRO"))</f>
        <v>0</v>
      </c>
      <c r="AZ365" s="153"/>
      <c r="BA365" s="109"/>
      <c r="BB365" s="10" t="str">
        <f>IFERROR(_xlfn.XLOOKUP(AI365, BS_ATIVIDADE[ATIVIDADE],BS_ATIVIDADE[UNIDADE] ), "*")</f>
        <v>Nº DE DORMENTES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5" s="150"/>
      <c r="BG365" s="16"/>
      <c r="BH365" s="17"/>
      <c r="BI365" s="17"/>
      <c r="BJ365" s="17" t="s">
        <v>1321</v>
      </c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Produção e Intervalo</v>
      </c>
      <c r="BR365" s="19">
        <f>IF(OR(B365="",F365=""),"*",AY365/P365)</f>
        <v>0</v>
      </c>
      <c r="BS365" s="19">
        <f>IF(OR(B365="",F365=""),"*",BA365/Q365)</f>
        <v>0</v>
      </c>
      <c r="BT365" s="8" t="str">
        <f t="shared" si="8"/>
        <v/>
      </c>
    </row>
    <row r="366" spans="1:72" hidden="1">
      <c r="A366" s="47" t="str">
        <f>D366&amp;B366</f>
        <v>EDSON/NIVALDO (TP-819)46093</v>
      </c>
      <c r="B366" s="102">
        <v>46093</v>
      </c>
      <c r="C366" s="135">
        <f>IF(BS_CONTROLE[[#This Row],[DATA]]="","",WEEKNUM(BS_CONTROLE[[#This Row],[DATA]]))</f>
        <v>11</v>
      </c>
      <c r="D366" s="104" t="s">
        <v>842</v>
      </c>
      <c r="E366" s="159">
        <v>30</v>
      </c>
      <c r="F366" s="126" t="s">
        <v>744</v>
      </c>
      <c r="G366" s="142" t="str">
        <f>IF(D366="","*",VLOOKUP(F366,BS_ATIVIDADE[],3,FALSE))</f>
        <v>DORMENTE - SUBSTITUIÇÂO</v>
      </c>
      <c r="H366" s="106" t="s">
        <v>558</v>
      </c>
      <c r="I366" s="106" t="s">
        <v>558</v>
      </c>
      <c r="J366" s="105">
        <v>49</v>
      </c>
      <c r="K366" s="105">
        <v>224.45</v>
      </c>
      <c r="L366" s="105" t="s">
        <v>558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66" s="106">
        <v>0.375</v>
      </c>
      <c r="P366" s="106">
        <v>6.25E-2</v>
      </c>
      <c r="Q366" s="105">
        <v>40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6" s="105" t="s">
        <v>1284</v>
      </c>
      <c r="W366" s="151" t="s">
        <v>1092</v>
      </c>
      <c r="X366" s="104" t="s">
        <v>386</v>
      </c>
      <c r="Y366" s="129" t="s">
        <v>389</v>
      </c>
      <c r="Z366" s="104"/>
      <c r="AA366" s="105" t="s">
        <v>558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 t="str">
        <f>BS_CONTROLE[[#This Row],[Local - Encerramento]]</f>
        <v>-</v>
      </c>
      <c r="AM366" s="105" t="str">
        <f>IF(BS_CONTROLE[[#This Row],[Entre - Estações]]=0, "-", BS_CONTROLE[[#This Row],[Entre - Estações]])</f>
        <v>ZXI-ZVK</v>
      </c>
      <c r="AN366" s="105" t="str">
        <f>IF(BS_CONTROLE[[#This Row],[SB]]=0, "-", BS_CONTROLE[[#This Row],[SB]])</f>
        <v>224ZIC1</v>
      </c>
      <c r="AO366" s="105">
        <f>IF(BS_CONTROLE[[#This Row],[SUB]]=0, "-", BS_CONTROLE[[#This Row],[SUB]])</f>
        <v>49</v>
      </c>
      <c r="AP366" s="105">
        <f>BS_CONTROLE[[#This Row],[KM - Inicio]]</f>
        <v>224.45</v>
      </c>
      <c r="AQ366" s="105">
        <f>BS_CONTROLE[[#This Row],[KM - Inicio]]</f>
        <v>224.45</v>
      </c>
      <c r="AR366" s="108">
        <v>0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>IF(D366="","*",IFERROR(IF(ISODD(COUNT(AS366:AX366)),"ERRO",SUM((AT366-AS366),(AV366-AU366),(AX366-AW366))),"ERRO"))</f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6" s="150"/>
      <c r="BG366" s="16"/>
      <c r="BH366" s="17">
        <v>0</v>
      </c>
      <c r="BI366" s="17"/>
      <c r="BJ366" s="17" t="s">
        <v>1368</v>
      </c>
      <c r="BK366" s="17" t="s">
        <v>1368</v>
      </c>
      <c r="BL366" s="16"/>
      <c r="BM366" s="130" t="s">
        <v>412</v>
      </c>
      <c r="BN366" s="130" t="s">
        <v>436</v>
      </c>
      <c r="BO366" s="130" t="s">
        <v>436</v>
      </c>
      <c r="BP366" s="17" t="s">
        <v>1368</v>
      </c>
      <c r="BQ366" s="12" t="str">
        <f>IF(AND(BR366&lt;1,BS366&lt;1),"Produção e Intervalo",IF(BR366&lt;1,"Intervalo",IF(BS366&lt;1,"Produção","Aderente")))</f>
        <v>Produção e Intervalo</v>
      </c>
      <c r="BR366" s="19">
        <f>IF(OR(B366="",F366=""),"*",AY366/P366)</f>
        <v>0</v>
      </c>
      <c r="BS366" s="19">
        <f>IF(OR(B366="",F366=""),"*",BA366/Q366)</f>
        <v>0</v>
      </c>
      <c r="BT366" s="8" t="str">
        <f t="shared" si="8"/>
        <v>CondiçõesClimáticaChuva</v>
      </c>
    </row>
    <row r="367" spans="1:72" hidden="1">
      <c r="A367" s="47" t="str">
        <f>D367&amp;B367</f>
        <v>ROGÉRIO (TP-730)46093</v>
      </c>
      <c r="B367" s="102">
        <v>46093</v>
      </c>
      <c r="C367" s="135">
        <f>IF(BS_CONTROLE[[#This Row],[DATA]]="","",WEEKNUM(BS_CONTROLE[[#This Row],[DATA]]))</f>
        <v>11</v>
      </c>
      <c r="D367" s="104" t="s">
        <v>900</v>
      </c>
      <c r="E367" s="159">
        <v>57</v>
      </c>
      <c r="F367" s="126" t="s">
        <v>744</v>
      </c>
      <c r="G367" s="142" t="str">
        <f>IF(D367="","*",VLOOKUP(F367,BS_ATIVIDADE[],3,FALSE))</f>
        <v>DORMENTE - SUBSTITUIÇÂO</v>
      </c>
      <c r="H367" s="127" t="str" cm="1">
        <f t="array" ref="H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67" s="106" t="s">
        <v>558</v>
      </c>
      <c r="J367" s="105">
        <v>49</v>
      </c>
      <c r="K367" s="105">
        <v>202.45</v>
      </c>
      <c r="L367" s="105" t="s">
        <v>558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7" s="106">
        <v>0.375</v>
      </c>
      <c r="P367" s="106">
        <v>6.25E-2</v>
      </c>
      <c r="Q367" s="105">
        <v>40</v>
      </c>
      <c r="R367" s="10" t="str">
        <f>IFERROR(_xlfn.XLOOKUP(F367, BS_ATIVIDADE[ATIVIDADE],BS_ATIVIDADE[UNIDADE] ), "*")</f>
        <v>Nº DE DORMENTES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7" s="105" t="s">
        <v>1284</v>
      </c>
      <c r="W367" s="151" t="s">
        <v>1092</v>
      </c>
      <c r="X367" s="104" t="s">
        <v>386</v>
      </c>
      <c r="Y367" s="129" t="s">
        <v>389</v>
      </c>
      <c r="Z367" s="104"/>
      <c r="AA367" s="105" t="s">
        <v>558</v>
      </c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PDM - SUBSTITUIÇÃO - DORMENTE</v>
      </c>
      <c r="AJ367" s="9" t="str">
        <f>IF(BS_CONTROLE[[#This Row],[Atividade]]=0, "-", BS_CONTROLE[[#This Row],[Atividade]])</f>
        <v>PDM - SUBSTITUIÇÃO - DORMENTE</v>
      </c>
      <c r="AK367" s="31" t="str">
        <f>BS_CONTROLE[[#This Row],[Local - Partida]]</f>
        <v>ZYU1</v>
      </c>
      <c r="AL367" s="31" t="str">
        <f>BS_CONTROLE[[#This Row],[Local - Encerramento]]</f>
        <v>-</v>
      </c>
      <c r="AM367" s="105" t="str">
        <f>IF(BS_CONTROLE[[#This Row],[Entre - Estações]]=0, "-", BS_CONTROLE[[#This Row],[Entre - Estações]])</f>
        <v>ZYU</v>
      </c>
      <c r="AN367" s="105" t="str">
        <f>IF(BS_CONTROLE[[#This Row],[SB]]=0, "-", BS_CONTROLE[[#This Row],[SB]])</f>
        <v>ZYU1</v>
      </c>
      <c r="AO367" s="105">
        <f>IF(BS_CONTROLE[[#This Row],[SUB]]=0, "-", BS_CONTROLE[[#This Row],[SUB]])</f>
        <v>49</v>
      </c>
      <c r="AP367" s="105">
        <f>BS_CONTROLE[[#This Row],[KM - Inicio]]</f>
        <v>202.45</v>
      </c>
      <c r="AQ367" s="105">
        <f>BS_CONTROLE[[#This Row],[KM - Inicio]]</f>
        <v>202.45</v>
      </c>
      <c r="AR367" s="108">
        <v>0.38958333333333334</v>
      </c>
      <c r="AS367" s="108"/>
      <c r="AT367" s="108"/>
      <c r="AU367" s="136"/>
      <c r="AV367" s="136"/>
      <c r="AW367" s="14"/>
      <c r="AX367" s="14"/>
      <c r="AY367" s="164">
        <f>IF(D367="","*",IFERROR(IF(ISODD(COUNT(AS367:AX367)),"ERRO",SUM((AT367-AS367),(AV367-AU367),(AX367-AW367))),"ERRO"))</f>
        <v>0</v>
      </c>
      <c r="AZ367" s="153"/>
      <c r="BA367" s="109"/>
      <c r="BB367" s="10" t="str">
        <f>IFERROR(_xlfn.XLOOKUP(AI367, BS_ATIVIDADE[ATIVIDADE],BS_ATIVIDADE[UNIDADE] ), "*")</f>
        <v>Nº DE DORMENTES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7" s="150"/>
      <c r="BG367" s="16"/>
      <c r="BH367" s="17"/>
      <c r="BI367" s="17"/>
      <c r="BJ367" s="17" t="s">
        <v>1513</v>
      </c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Produção e Intervalo</v>
      </c>
      <c r="BR367" s="19">
        <f>IF(OR(B367="",F367=""),"*",AY367/P367)</f>
        <v>0</v>
      </c>
      <c r="BS367" s="19">
        <f>IF(OR(B367="",F367=""),"*",BA367/Q367)</f>
        <v>0</v>
      </c>
      <c r="BT367" s="8" t="str">
        <f t="shared" si="8"/>
        <v/>
      </c>
    </row>
    <row r="368" spans="1:72" hidden="1">
      <c r="A368" s="47" t="str">
        <f>D368&amp;B368</f>
        <v>V93</v>
      </c>
      <c r="B368" s="102"/>
      <c r="C368" s="135" t="str">
        <f>IF(BS_CONTROLE[[#This Row],[DATA]]="","",WEEKNUM(BS_CONTROLE[[#This Row],[DATA]]))</f>
        <v/>
      </c>
      <c r="D368" s="104" t="s">
        <v>775</v>
      </c>
      <c r="E368" s="159">
        <v>52</v>
      </c>
      <c r="F368" s="126" t="s">
        <v>663</v>
      </c>
      <c r="G368" s="142" t="str">
        <f>IF(D368="","*",VLOOKUP(F368,BS_ATIVIDADE[],3,FALSE))</f>
        <v>MECANIZAÇÃO - SOCADORA</v>
      </c>
      <c r="H368" s="105" t="s">
        <v>1290</v>
      </c>
      <c r="I368" s="105" t="s">
        <v>1290</v>
      </c>
      <c r="J368" s="105">
        <v>56</v>
      </c>
      <c r="K368" s="105">
        <v>190.07</v>
      </c>
      <c r="L368" s="105">
        <v>188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27" t="s">
        <v>1291</v>
      </c>
      <c r="O368" s="106">
        <v>0.39583333333333331</v>
      </c>
      <c r="P368" s="106">
        <v>8.3333333333333329E-2</v>
      </c>
      <c r="Q368" s="105">
        <v>200</v>
      </c>
      <c r="R368" s="10" t="str">
        <f>IFERROR(_xlfn.XLOOKUP(F368, BS_ATIVIDADE[ATIVIDADE],BS_ATIVIDADE[UNIDADE] ), "*")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8" s="105" t="s">
        <v>1029</v>
      </c>
      <c r="W368" s="151" t="s">
        <v>1013</v>
      </c>
      <c r="X368" s="104" t="s">
        <v>386</v>
      </c>
      <c r="Y368" s="129"/>
      <c r="Z368" s="104"/>
      <c r="AA368" s="105">
        <v>1</v>
      </c>
      <c r="AB368" s="103" t="s">
        <v>383</v>
      </c>
      <c r="AC368" s="152" t="s">
        <v>384</v>
      </c>
      <c r="AD368" s="107">
        <v>0.33333333333333331</v>
      </c>
      <c r="AE368" s="105" t="s">
        <v>558</v>
      </c>
      <c r="AF368" s="105"/>
      <c r="AG368" s="105"/>
      <c r="AH368" s="15"/>
      <c r="AI368" s="126" t="str">
        <f>IF(BS_CONTROLE[[#This Row],[Atividade]]=0, "-", BS_CONTROLE[[#This Row],[Atividade]])</f>
        <v>MECANIZAÇÃO - SOCADORA</v>
      </c>
      <c r="AJ368" s="9" t="str">
        <f>IF(BS_CONTROLE[[#This Row],[Atividade]]=0, "-", BS_CONTROLE[[#This Row],[Atividade]])</f>
        <v>MECANIZAÇÃO - SOCADORA</v>
      </c>
      <c r="AK368" s="31" t="str">
        <f>BS_CONTROLE[[#This Row],[Local - Partida]]</f>
        <v>ZXP-2</v>
      </c>
      <c r="AL368" s="31" t="str">
        <f>BS_CONTROLE[[#This Row],[Local - Encerramento]]</f>
        <v>ZXP-2</v>
      </c>
      <c r="AM368" s="105" t="str">
        <f>IF(BS_CONTROLE[[#This Row],[Entre - Estações]]=0, "-", BS_CONTROLE[[#This Row],[Entre - Estações]])</f>
        <v>ZXP-ZFY</v>
      </c>
      <c r="AN368" s="105" t="str">
        <f>IF(BS_CONTROLE[[#This Row],[SB]]=0, "-", BS_CONTROLE[[#This Row],[SB]])</f>
        <v>189ZFY/ZXP189</v>
      </c>
      <c r="AO368" s="105">
        <f>IF(BS_CONTROLE[[#This Row],[SUB]]=0, "-", BS_CONTROLE[[#This Row],[SUB]])</f>
        <v>56</v>
      </c>
      <c r="AP368" s="105">
        <f>BS_CONTROLE[[#This Row],[KM - Inicio]]</f>
        <v>190.07</v>
      </c>
      <c r="AQ368" s="105">
        <f>BS_CONTROLE[[#This Row],[KM - Inicio]]</f>
        <v>190.07</v>
      </c>
      <c r="AR368" s="108"/>
      <c r="AS368" s="108"/>
      <c r="AT368" s="108"/>
      <c r="AU368" s="136"/>
      <c r="AV368" s="136"/>
      <c r="AW368" s="14"/>
      <c r="AX368" s="14"/>
      <c r="AY368" s="164">
        <f>IF(D368="","*",IFERROR(IF(ISODD(COUNT(AS368:AX368)),"ERRO",SUM((AT368-AS368),(AV368-AU368),(AX368-AW368))),"ERRO"))</f>
        <v>0</v>
      </c>
      <c r="AZ368" s="153"/>
      <c r="BA368" s="109"/>
      <c r="BB368" s="10" t="str">
        <f>IFERROR(_xlfn.XLOOKUP(AI368, BS_ATIVIDADE[ATIVIDADE],BS_ATIVIDADE[UNIDADE] ), "*")</f>
        <v>M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>ROBSON (TF-701)46093</v>
      </c>
      <c r="B369" s="102">
        <v>46093</v>
      </c>
      <c r="C369" s="135">
        <f>IF(BS_CONTROLE[[#This Row],[DATA]]="","",WEEKNUM(BS_CONTROLE[[#This Row],[DATA]]))</f>
        <v>11</v>
      </c>
      <c r="D369" s="104" t="s">
        <v>898</v>
      </c>
      <c r="E369" s="177">
        <v>114</v>
      </c>
      <c r="F369" s="126" t="s">
        <v>636</v>
      </c>
      <c r="G369" s="142" t="str">
        <f>IF(D369="","*",VLOOKUP(F369,BS_ATIVIDADE[],3,FALSE))</f>
        <v>LIMPEZA LASTRO</v>
      </c>
      <c r="H369" s="127" t="str" cm="1">
        <f t="array" ref="H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69" s="106" t="s">
        <v>558</v>
      </c>
      <c r="J369" s="105">
        <v>56</v>
      </c>
      <c r="K369" s="105">
        <v>187.58</v>
      </c>
      <c r="L369" s="105" t="s">
        <v>558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9" s="106">
        <v>0.41666666666666669</v>
      </c>
      <c r="P369" s="106">
        <v>6.25E-2</v>
      </c>
      <c r="Q369" s="105">
        <v>15</v>
      </c>
      <c r="R369" s="10" t="str">
        <f>IFERROR(_xlfn.XLOOKUP(F369, BS_ATIVIDADE[ATIVIDADE],BS_ATIVIDADE[UNIDADE] ), "*")</f>
        <v>M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9" s="105" t="s">
        <v>1284</v>
      </c>
      <c r="W369" s="151" t="s">
        <v>1295</v>
      </c>
      <c r="X369" s="104" t="s">
        <v>386</v>
      </c>
      <c r="Y369" s="129" t="s">
        <v>389</v>
      </c>
      <c r="Z369" s="104"/>
      <c r="AA369" s="105" t="s">
        <v>558</v>
      </c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LIMPEZA LASTRO</v>
      </c>
      <c r="AJ369" s="9" t="str">
        <f>IF(BS_CONTROLE[[#This Row],[Atividade]]=0, "-", BS_CONTROLE[[#This Row],[Atividade]])</f>
        <v>LIMPEZA LASTRO</v>
      </c>
      <c r="AK369" s="31" t="str">
        <f>BS_CONTROLE[[#This Row],[Local - Partida]]</f>
        <v>ZXP189</v>
      </c>
      <c r="AL369" s="31" t="str">
        <f>BS_CONTROLE[[#This Row],[Local - Encerramento]]</f>
        <v>-</v>
      </c>
      <c r="AM369" s="105" t="str">
        <f>IF(BS_CONTROLE[[#This Row],[Entre - Estações]]=0, "-", BS_CONTROLE[[#This Row],[Entre - Estações]])</f>
        <v>ZXP-ZFY</v>
      </c>
      <c r="AN369" s="105" t="str">
        <f>IF(BS_CONTROLE[[#This Row],[SB]]=0, "-", BS_CONTROLE[[#This Row],[SB]])</f>
        <v>ZXP189</v>
      </c>
      <c r="AO369" s="105">
        <f>IF(BS_CONTROLE[[#This Row],[SUB]]=0, "-", BS_CONTROLE[[#This Row],[SUB]])</f>
        <v>56</v>
      </c>
      <c r="AP369" s="105">
        <f>BS_CONTROLE[[#This Row],[KM - Inicio]]</f>
        <v>187.58</v>
      </c>
      <c r="AQ369" s="105">
        <f>BS_CONTROLE[[#This Row],[KM - Inicio]]</f>
        <v>187.58</v>
      </c>
      <c r="AR369" s="108">
        <v>0</v>
      </c>
      <c r="AS369" s="108">
        <v>0</v>
      </c>
      <c r="AT369" s="108">
        <v>0</v>
      </c>
      <c r="AU369" s="136"/>
      <c r="AV369" s="136"/>
      <c r="AW369" s="14"/>
      <c r="AX369" s="14"/>
      <c r="AY369" s="164">
        <f>IF(D369="","*",IFERROR(IF(ISODD(COUNT(AS369:AX369)),"ERRO",SUM((AT369-AS369),(AV369-AU369),(AX369-AW369))),"ERRO"))</f>
        <v>0</v>
      </c>
      <c r="AZ369" s="153"/>
      <c r="BA369" s="109">
        <v>0</v>
      </c>
      <c r="BB369" s="10" t="str">
        <f>IFERROR(_xlfn.XLOOKUP(AI369, BS_ATIVIDADE[ATIVIDADE],BS_ATIVIDADE[UNIDADE] ), "*")</f>
        <v>M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9" s="150"/>
      <c r="BG369" s="16"/>
      <c r="BH369" s="17">
        <v>0</v>
      </c>
      <c r="BI369" s="17"/>
      <c r="BJ369" s="17" t="s">
        <v>1368</v>
      </c>
      <c r="BK369" s="17" t="s">
        <v>1368</v>
      </c>
      <c r="BL369" s="16"/>
      <c r="BM369" s="130" t="s">
        <v>412</v>
      </c>
      <c r="BN369" s="130" t="s">
        <v>436</v>
      </c>
      <c r="BO369" s="130" t="s">
        <v>436</v>
      </c>
      <c r="BP369" s="17" t="s">
        <v>1368</v>
      </c>
      <c r="BQ369" s="12" t="str">
        <f>IF(AND(BR369&lt;1,BS369&lt;1),"Produção e Intervalo",IF(BR369&lt;1,"Intervalo",IF(BS369&lt;1,"Produção","Aderente")))</f>
        <v>Produção e Intervalo</v>
      </c>
      <c r="BR369" s="19">
        <f>IF(OR(B369="",F369=""),"*",AY369/P369)</f>
        <v>0</v>
      </c>
      <c r="BS369" s="19">
        <f>IF(OR(B369="",F369=""),"*",BA369/Q369)</f>
        <v>0</v>
      </c>
      <c r="BT369" s="8" t="str">
        <f t="shared" si="8"/>
        <v>CondiçõesClimáticaChuva</v>
      </c>
    </row>
    <row r="370" spans="1:72" hidden="1">
      <c r="A370" s="47" t="str">
        <f>D370&amp;B370</f>
        <v>CARLOS (TP-722)46093</v>
      </c>
      <c r="B370" s="102">
        <v>46093</v>
      </c>
      <c r="C370" s="135">
        <f>IF(BS_CONTROLE[[#This Row],[DATA]]="","",WEEKNUM(BS_CONTROLE[[#This Row],[DATA]]))</f>
        <v>11</v>
      </c>
      <c r="D370" s="104" t="s">
        <v>826</v>
      </c>
      <c r="E370" s="159">
        <v>262</v>
      </c>
      <c r="F370" s="126" t="s">
        <v>740</v>
      </c>
      <c r="G370" s="142" t="str">
        <f>IF(D370="","*",VLOOKUP(F370,BS_ATIVIDADE[],3,FALSE))</f>
        <v>SOLDA</v>
      </c>
      <c r="H370" s="106" t="s">
        <v>558</v>
      </c>
      <c r="I370" s="106" t="s">
        <v>558</v>
      </c>
      <c r="J370" s="105">
        <v>56</v>
      </c>
      <c r="K370" s="105">
        <v>158.4</v>
      </c>
      <c r="L370" s="105" t="s">
        <v>558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70" s="106">
        <v>0.375</v>
      </c>
      <c r="P370" s="106">
        <v>6.25E-2</v>
      </c>
      <c r="Q370" s="105">
        <v>1</v>
      </c>
      <c r="R370" s="10" t="str">
        <f>IFERROR(_xlfn.XLOOKUP(F370, BS_ATIVIDADE[ATIVIDADE],BS_ATIVIDADE[UNIDADE] ), "*")</f>
        <v>Nº DE SOLDA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1284</v>
      </c>
      <c r="W370" s="151" t="s">
        <v>1025</v>
      </c>
      <c r="X370" s="104" t="s">
        <v>386</v>
      </c>
      <c r="Y370" s="129" t="s">
        <v>389</v>
      </c>
      <c r="Z370" s="104"/>
      <c r="AA370" s="105">
        <v>1</v>
      </c>
      <c r="AB370" s="103" t="s">
        <v>377</v>
      </c>
      <c r="AC370" s="152" t="s">
        <v>371</v>
      </c>
      <c r="AD370" s="107">
        <v>0.3125</v>
      </c>
      <c r="AE370" s="105" t="s">
        <v>558</v>
      </c>
      <c r="AF370" s="105"/>
      <c r="AG370" s="105"/>
      <c r="AH370" s="15"/>
      <c r="AI370" s="126" t="str">
        <f>IF(BS_CONTROLE[[#This Row],[Atividade]]=0, "-", BS_CONTROLE[[#This Row],[Atividade]])</f>
        <v>PDM - SOLDA</v>
      </c>
      <c r="AJ370" s="9" t="str">
        <f>IF(BS_CONTROLE[[#This Row],[Atividade]]=0, "-", BS_CONTROLE[[#This Row],[Atividade]])</f>
        <v>PDM - SOLDA</v>
      </c>
      <c r="AK370" s="31" t="str">
        <f>BS_CONTROLE[[#This Row],[Local - Partida]]</f>
        <v>-</v>
      </c>
      <c r="AL370" s="31" t="str">
        <f>BS_CONTROLE[[#This Row],[Local - Encerramento]]</f>
        <v>-</v>
      </c>
      <c r="AM370" s="105" t="str">
        <f>IF(BS_CONTROLE[[#This Row],[Entre - Estações]]=0, "-", BS_CONTROLE[[#This Row],[Entre - Estações]])</f>
        <v>ZPS-ZCX</v>
      </c>
      <c r="AN370" s="105" t="str">
        <f>IF(BS_CONTROLE[[#This Row],[SB]]=0, "-", BS_CONTROLE[[#This Row],[SB]])</f>
        <v>ZPSZCX</v>
      </c>
      <c r="AO370" s="105">
        <f>IF(BS_CONTROLE[[#This Row],[SUB]]=0, "-", BS_CONTROLE[[#This Row],[SUB]])</f>
        <v>56</v>
      </c>
      <c r="AP370" s="105">
        <f>BS_CONTROLE[[#This Row],[KM - Inicio]]</f>
        <v>158.4</v>
      </c>
      <c r="AQ370" s="105">
        <f>BS_CONTROLE[[#This Row],[KM - Inicio]]</f>
        <v>158.4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>IF(D370="","*",IFERROR(IF(ISODD(COUNT(AS370:AX370)),"ERRO",SUM((AT370-AS370),(AV370-AU370),(AX370-AW370))),"ERRO"))</f>
        <v>0</v>
      </c>
      <c r="AZ370" s="153"/>
      <c r="BA370" s="109">
        <v>0</v>
      </c>
      <c r="BB370" s="10" t="str">
        <f>IFERROR(_xlfn.XLOOKUP(AI370, BS_ATIVIDADE[ATIVIDADE],BS_ATIVIDADE[UNIDADE] ), "*")</f>
        <v>Nº DE SOLDA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1368</v>
      </c>
      <c r="BK370" s="17" t="s">
        <v>1368</v>
      </c>
      <c r="BL370" s="16"/>
      <c r="BM370" s="130" t="s">
        <v>412</v>
      </c>
      <c r="BN370" s="130" t="s">
        <v>436</v>
      </c>
      <c r="BO370" s="130" t="s">
        <v>436</v>
      </c>
      <c r="BP370" s="17" t="s">
        <v>1368</v>
      </c>
      <c r="BQ370" s="12" t="str">
        <f>IF(AND(BR370&lt;1,BS370&lt;1),"Produção e Intervalo",IF(BR370&lt;1,"Intervalo",IF(BS370&lt;1,"Produção","Aderente")))</f>
        <v>Produção e Intervalo</v>
      </c>
      <c r="BR370" s="19">
        <f>IF(OR(B370="",F370=""),"*",AY370/P370)</f>
        <v>0</v>
      </c>
      <c r="BS370" s="19">
        <f>IF(OR(B370="",F370=""),"*",BA370/Q370)</f>
        <v>0</v>
      </c>
      <c r="BT370" s="8" t="str">
        <f t="shared" si="8"/>
        <v>CondiçõesClimáticaChuva</v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>E1746093</v>
      </c>
      <c r="B372" s="102">
        <v>46093</v>
      </c>
      <c r="C372" s="135">
        <f>IF(BS_CONTROLE[[#This Row],[DATA]]="","",WEEKNUM(BS_CONTROLE[[#This Row],[DATA]]))</f>
        <v>11</v>
      </c>
      <c r="D372" s="104" t="s">
        <v>702</v>
      </c>
      <c r="E372" s="159">
        <v>334</v>
      </c>
      <c r="F372" s="126" t="s">
        <v>560</v>
      </c>
      <c r="G372" s="142" t="str">
        <f>IF(D372="","*",VLOOKUP(F372,BS_ATIVIDADE[],3,FALSE))</f>
        <v>CAMINHÂO - SOLDA</v>
      </c>
      <c r="H372" s="106" t="s">
        <v>1480</v>
      </c>
      <c r="I372" s="106" t="s">
        <v>1480</v>
      </c>
      <c r="J372" s="105">
        <v>55</v>
      </c>
      <c r="K372" s="105">
        <v>106.432</v>
      </c>
      <c r="L372" s="105">
        <v>106.75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72" s="106">
        <v>0.375</v>
      </c>
      <c r="P372" s="106">
        <v>0.125</v>
      </c>
      <c r="Q372" s="105">
        <v>2</v>
      </c>
      <c r="R372" s="10" t="str">
        <f>IFERROR(_xlfn.XLOOKUP(F372, BS_ATIVIDADE[ATIVIDADE],BS_ATIVIDADE[UNIDADE] ), "*")</f>
        <v>Nº DE SOLDA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2" s="105" t="s">
        <v>1481</v>
      </c>
      <c r="W372" s="151" t="s">
        <v>1021</v>
      </c>
      <c r="X372" s="104" t="s">
        <v>386</v>
      </c>
      <c r="Y372" s="129" t="s">
        <v>389</v>
      </c>
      <c r="Z372" s="104"/>
      <c r="AA372" s="105">
        <v>1</v>
      </c>
      <c r="AB372" s="103" t="s">
        <v>377</v>
      </c>
      <c r="AC372" s="152" t="s">
        <v>371</v>
      </c>
      <c r="AD372" s="107">
        <v>0.35416666666666669</v>
      </c>
      <c r="AE372" s="105" t="s">
        <v>558</v>
      </c>
      <c r="AF372" s="105"/>
      <c r="AG372" s="105"/>
      <c r="AH372" s="15"/>
      <c r="AI372" s="126" t="str">
        <f>IF(BS_CONTROLE[[#This Row],[Atividade]]=0, "-", BS_CONTROLE[[#This Row],[Atividade]])</f>
        <v>CAMINHÃO DE SOLDA</v>
      </c>
      <c r="AJ372" s="9" t="str">
        <f>IF(BS_CONTROLE[[#This Row],[Atividade]]=0, "-", BS_CONTROLE[[#This Row],[Atividade]])</f>
        <v>CAMINHÃO DE SOLDA</v>
      </c>
      <c r="AK372" s="31" t="str">
        <f>BS_CONTROLE[[#This Row],[Local - Partida]]</f>
        <v>102ZKW-2</v>
      </c>
      <c r="AL372" s="31" t="str">
        <f>BS_CONTROLE[[#This Row],[Local - Encerramento]]</f>
        <v>102ZKW-2</v>
      </c>
      <c r="AM372" s="105" t="str">
        <f>IF(BS_CONTROLE[[#This Row],[Entre - Estações]]=0, "-", BS_CONTROLE[[#This Row],[Entre - Estações]])</f>
        <v>ZLU</v>
      </c>
      <c r="AN372" s="105" t="str">
        <f>IF(BS_CONTROLE[[#This Row],[SB]]=0, "-", BS_CONTROLE[[#This Row],[SB]])</f>
        <v>ZLU1052</v>
      </c>
      <c r="AO372" s="105">
        <f>IF(BS_CONTROLE[[#This Row],[SUB]]=0, "-", BS_CONTROLE[[#This Row],[SUB]])</f>
        <v>55</v>
      </c>
      <c r="AP372" s="105">
        <f>BS_CONTROLE[[#This Row],[KM - Inicio]]</f>
        <v>106.432</v>
      </c>
      <c r="AQ372" s="105">
        <f>BS_CONTROLE[[#This Row],[KM - Inicio]]</f>
        <v>106.432</v>
      </c>
      <c r="AR372" s="108">
        <v>0</v>
      </c>
      <c r="AS372" s="108">
        <v>0</v>
      </c>
      <c r="AT372" s="108">
        <v>0</v>
      </c>
      <c r="AU372" s="136"/>
      <c r="AV372" s="136"/>
      <c r="AW372" s="14"/>
      <c r="AX372" s="14"/>
      <c r="AY372" s="164">
        <f>IF(D372="","*",IFERROR(IF(ISODD(COUNT(AS372:AX372)),"ERRO",SUM((AT372-AS372),(AV372-AU372),(AX372-AW372))),"ERRO"))</f>
        <v>0</v>
      </c>
      <c r="AZ372" s="153"/>
      <c r="BA372" s="109">
        <v>0</v>
      </c>
      <c r="BB372" s="10" t="str">
        <f>IFERROR(_xlfn.XLOOKUP(AI372, BS_ATIVIDADE[ATIVIDADE],BS_ATIVIDADE[UNIDADE] ), "*")</f>
        <v>Nº DE SOLDA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2" s="150"/>
      <c r="BG372" s="16"/>
      <c r="BH372" s="17">
        <v>0</v>
      </c>
      <c r="BI372" s="17"/>
      <c r="BJ372" s="17" t="s">
        <v>1514</v>
      </c>
      <c r="BK372" s="17" t="s">
        <v>1514</v>
      </c>
      <c r="BL372" s="16"/>
      <c r="BM372" s="130" t="s">
        <v>412</v>
      </c>
      <c r="BN372" s="130" t="s">
        <v>436</v>
      </c>
      <c r="BO372" s="130" t="s">
        <v>436</v>
      </c>
      <c r="BP372" s="17" t="s">
        <v>1514</v>
      </c>
      <c r="BQ372" s="12" t="str">
        <f>IF(AND(BR372&lt;1,BS372&lt;1),"Produção e Intervalo",IF(BR372&lt;1,"Intervalo",IF(BS372&lt;1,"Produção","Aderente")))</f>
        <v>Produção e Intervalo</v>
      </c>
      <c r="BR372" s="19">
        <f>IF(OR(B372="",F372=""),"*",AY372/P372)</f>
        <v>0</v>
      </c>
      <c r="BS372" s="19">
        <f>IF(OR(B372="",F372=""),"*",BA372/Q372)</f>
        <v>0</v>
      </c>
      <c r="BT372" s="8" t="str">
        <f t="shared" si="8"/>
        <v>CondiçõesClimáticaChuva</v>
      </c>
    </row>
    <row r="373" spans="1:72" hidden="1">
      <c r="A373" s="47" t="str">
        <f>D373&amp;B373</f>
        <v>W6046093</v>
      </c>
      <c r="B373" s="102">
        <v>46093</v>
      </c>
      <c r="C373" s="135">
        <f>IF(BS_CONTROLE[[#This Row],[DATA]]="","",WEEKNUM(BS_CONTROLE[[#This Row],[DATA]]))</f>
        <v>11</v>
      </c>
      <c r="D373" s="104" t="s">
        <v>791</v>
      </c>
      <c r="E373" s="159">
        <v>367</v>
      </c>
      <c r="F373" s="126" t="s">
        <v>753</v>
      </c>
      <c r="G373" s="142" t="str">
        <f>IF(D373="","*",VLOOKUP(F373,BS_ATIVIDADE[],3,FALSE))</f>
        <v>OUTROS</v>
      </c>
      <c r="H373" s="106" t="s">
        <v>1068</v>
      </c>
      <c r="I373" s="106" t="s">
        <v>1068</v>
      </c>
      <c r="J373" s="105">
        <v>55</v>
      </c>
      <c r="K373" s="105">
        <v>124.5</v>
      </c>
      <c r="L373" s="105" t="s">
        <v>558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27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373" s="106">
        <v>0.35416666666666669</v>
      </c>
      <c r="P373" s="106">
        <v>2.7777777777777776E-2</v>
      </c>
      <c r="Q373" s="105">
        <v>1</v>
      </c>
      <c r="R373" s="10" t="str">
        <f>IFERROR(_xlfn.XLOOKUP(F373, BS_ATIVIDADE[ATIVIDADE],BS_ATIVIDADE[UNIDADE] ), "*")</f>
        <v>BINÁRIO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3" s="105" t="s">
        <v>1184</v>
      </c>
      <c r="W373" s="151" t="s">
        <v>1515</v>
      </c>
      <c r="X373" s="104" t="s">
        <v>386</v>
      </c>
      <c r="Y373" s="129" t="s">
        <v>389</v>
      </c>
      <c r="Z373" s="104"/>
      <c r="AA373" s="105">
        <v>2</v>
      </c>
      <c r="AB373" s="103" t="s">
        <v>377</v>
      </c>
      <c r="AC373" s="152" t="s">
        <v>371</v>
      </c>
      <c r="AD373" s="107">
        <v>0.29166666666666669</v>
      </c>
      <c r="AE373" s="105">
        <v>7694</v>
      </c>
      <c r="AF373" s="105" t="s">
        <v>558</v>
      </c>
      <c r="AG373" s="105"/>
      <c r="AH373" s="15"/>
      <c r="AI373" s="126" t="s">
        <v>572</v>
      </c>
      <c r="AJ373" s="9" t="str">
        <f>IF(BS_CONTROLE[[#This Row],[Atividade]]=0, "-", BS_CONTROLE[[#This Row],[Atividade]])</f>
        <v>RECOLHIMENTO DE MATERIAL</v>
      </c>
      <c r="AK373" s="31" t="str">
        <f>BS_CONTROLE[[#This Row],[Local - Partida]]</f>
        <v>ZEM130-2</v>
      </c>
      <c r="AL373" s="31" t="str">
        <f>BS_CONTROLE[[#This Row],[Local - Encerramento]]</f>
        <v>ZEM130-2</v>
      </c>
      <c r="AM373" s="105" t="s">
        <v>1516</v>
      </c>
      <c r="AN373" s="105" t="s">
        <v>1516</v>
      </c>
      <c r="AO373" s="105">
        <f>IF(BS_CONTROLE[[#This Row],[SUB]]=0, "-", BS_CONTROLE[[#This Row],[SUB]])</f>
        <v>55</v>
      </c>
      <c r="AP373" s="105">
        <v>132</v>
      </c>
      <c r="AQ373" s="105" t="s">
        <v>558</v>
      </c>
      <c r="AR373" s="108">
        <v>0.35347222222222224</v>
      </c>
      <c r="AS373" s="108"/>
      <c r="AT373" s="108"/>
      <c r="AU373" s="136"/>
      <c r="AV373" s="136"/>
      <c r="AW373" s="14"/>
      <c r="AX373" s="14"/>
      <c r="AY373" s="164">
        <f>IF(D373="","*",IFERROR(IF(ISODD(COUNT(AS373:AX373)),"ERRO",SUM((AT373-AS373),(AV373-AU373),(AX373-AW373))),"ERRO"))</f>
        <v>0</v>
      </c>
      <c r="AZ373" s="153"/>
      <c r="BA373" s="109"/>
      <c r="BB373" s="10" t="str">
        <f>IFERROR(_xlfn.XLOOKUP(AI373, BS_ATIVIDADE[ATIVIDADE],BS_ATIVIDADE[UNIDADE] ), "*")</f>
        <v>BINÁRIO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3" s="150"/>
      <c r="BG373" s="16"/>
      <c r="BH373" s="17"/>
      <c r="BI373" s="17"/>
      <c r="BJ373" s="17" t="s">
        <v>1517</v>
      </c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Produção e Intervalo</v>
      </c>
      <c r="BR373" s="19">
        <f>IF(OR(B373="",F373=""),"*",AY373/P373)</f>
        <v>0</v>
      </c>
      <c r="BS373" s="19">
        <f>IF(OR(B373="",F373=""),"*",BA373/Q373)</f>
        <v>0</v>
      </c>
      <c r="BT373" s="8" t="str">
        <f t="shared" si="8"/>
        <v/>
      </c>
    </row>
    <row r="374" spans="1:72" hidden="1">
      <c r="A374" s="47" t="str">
        <f>D374&amp;B374</f>
        <v>EDSON (TP-719)46093</v>
      </c>
      <c r="B374" s="102">
        <v>46093</v>
      </c>
      <c r="C374" s="135">
        <f>IF(BS_CONTROLE[[#This Row],[DATA]]="","",WEEKNUM(BS_CONTROLE[[#This Row],[DATA]]))</f>
        <v>11</v>
      </c>
      <c r="D374" s="104" t="s">
        <v>840</v>
      </c>
      <c r="E374" s="159">
        <v>188</v>
      </c>
      <c r="F374" s="126" t="s">
        <v>721</v>
      </c>
      <c r="G374" s="142" t="str">
        <f>IF(D374="","*",VLOOKUP(F374,BS_ATIVIDADE[],3,FALSE))</f>
        <v>DORMENTE - DESCARGA</v>
      </c>
      <c r="H374" s="106" t="s">
        <v>558</v>
      </c>
      <c r="I374" s="106" t="s">
        <v>558</v>
      </c>
      <c r="J374" s="105">
        <v>55</v>
      </c>
      <c r="K374" s="105">
        <v>129.16999999999999</v>
      </c>
      <c r="L374" s="105">
        <v>129.61099999999999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4" s="106">
        <v>0.375</v>
      </c>
      <c r="P374" s="106">
        <v>8.3333333333333329E-2</v>
      </c>
      <c r="Q374" s="105">
        <v>30</v>
      </c>
      <c r="R374" s="10" t="str">
        <f>IFERROR(_xlfn.XLOOKUP(F374, BS_ATIVIDADE[ATIVIDADE],BS_ATIVIDADE[UNIDADE] ), "*")</f>
        <v>Nº DE DORMENTES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4" s="105" t="s">
        <v>1184</v>
      </c>
      <c r="W374" s="151" t="s">
        <v>1092</v>
      </c>
      <c r="X374" s="104" t="s">
        <v>386</v>
      </c>
      <c r="Y374" s="129" t="s">
        <v>389</v>
      </c>
      <c r="Z374" s="104"/>
      <c r="AA374" s="105" t="s">
        <v>558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DESCARGA - DORMENTE</v>
      </c>
      <c r="AJ374" s="9" t="str">
        <f>IF(BS_CONTROLE[[#This Row],[Atividade]]=0, "-", BS_CONTROLE[[#This Row],[Atividade]])</f>
        <v>PDM - DESCARGA - DORMENTE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ZYQ-ZEM</v>
      </c>
      <c r="AN374" s="105" t="str">
        <f>IF(BS_CONTROLE[[#This Row],[SB]]=0, "-", BS_CONTROLE[[#This Row],[SB]])</f>
        <v>130ZYQ2</v>
      </c>
      <c r="AO374" s="105">
        <f>IF(BS_CONTROLE[[#This Row],[SUB]]=0, "-", BS_CONTROLE[[#This Row],[SUB]])</f>
        <v>55</v>
      </c>
      <c r="AP374" s="105">
        <f>BS_CONTROLE[[#This Row],[KM - Inicio]]</f>
        <v>129.16999999999999</v>
      </c>
      <c r="AQ374" s="105">
        <f>BS_CONTROLE[[#This Row],[KM - Inicio]]</f>
        <v>129.16999999999999</v>
      </c>
      <c r="AR374" s="108">
        <v>0.44166666666666665</v>
      </c>
      <c r="AS374" s="108"/>
      <c r="AT374" s="108"/>
      <c r="AU374" s="136"/>
      <c r="AV374" s="136"/>
      <c r="AW374" s="14"/>
      <c r="AX374" s="14"/>
      <c r="AY374" s="164">
        <f>IF(D374="","*",IFERROR(IF(ISODD(COUNT(AS374:AX374)),"ERRO",SUM((AT374-AS374),(AV374-AU374),(AX374-AW374))),"ERRO"))</f>
        <v>0</v>
      </c>
      <c r="AZ374" s="153"/>
      <c r="BA374" s="109"/>
      <c r="BB374" s="10" t="str">
        <f>IFERROR(_xlfn.XLOOKUP(AI374, BS_ATIVIDADE[ATIVIDADE],BS_ATIVIDADE[UNIDADE] ), "*")</f>
        <v>Nº DE DORMENTES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4" s="150"/>
      <c r="BG374" s="16"/>
      <c r="BH374" s="17"/>
      <c r="BI374" s="17"/>
      <c r="BJ374" s="17" t="s">
        <v>1518</v>
      </c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Produção e Intervalo</v>
      </c>
      <c r="BR374" s="19">
        <f>IF(OR(B374="",F374=""),"*",AY374/P374)</f>
        <v>0</v>
      </c>
      <c r="BS374" s="19">
        <f>IF(OR(B374="",F374=""),"*",BA374/Q374)</f>
        <v>0</v>
      </c>
      <c r="BT374" s="8" t="str">
        <f t="shared" si="8"/>
        <v/>
      </c>
    </row>
    <row r="375" spans="1:72" hidden="1">
      <c r="A375" s="47" t="str">
        <f>D375&amp;B375</f>
        <v>EDSON (TP-719)46093</v>
      </c>
      <c r="B375" s="102">
        <v>46093</v>
      </c>
      <c r="C375" s="135">
        <f>IF(BS_CONTROLE[[#This Row],[DATA]]="","",WEEKNUM(BS_CONTROLE[[#This Row],[DATA]]))</f>
        <v>11</v>
      </c>
      <c r="D375" s="104" t="s">
        <v>840</v>
      </c>
      <c r="E375" s="159">
        <v>189</v>
      </c>
      <c r="F375" s="126" t="s">
        <v>721</v>
      </c>
      <c r="G375" s="142" t="str">
        <f>IF(D375="","*",VLOOKUP(F375,BS_ATIVIDADE[],3,FALSE))</f>
        <v>DORMENTE - DESCARGA</v>
      </c>
      <c r="H375" s="106" t="s">
        <v>558</v>
      </c>
      <c r="I375" s="106" t="s">
        <v>558</v>
      </c>
      <c r="J375" s="105">
        <v>55</v>
      </c>
      <c r="K375" s="105">
        <v>130.6</v>
      </c>
      <c r="L375" s="105">
        <v>130.80000000000001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5" s="106">
        <v>0.375</v>
      </c>
      <c r="P375" s="106">
        <v>8.3333333333333329E-2</v>
      </c>
      <c r="Q375" s="105">
        <v>30</v>
      </c>
      <c r="R375" s="10" t="str">
        <f>IFERROR(_xlfn.XLOOKUP(F375, BS_ATIVIDADE[ATIVIDADE],BS_ATIVIDADE[UNIDADE] ), "*")</f>
        <v>Nº DE DORMENTES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5" s="105" t="s">
        <v>1184</v>
      </c>
      <c r="W375" s="151" t="s">
        <v>1092</v>
      </c>
      <c r="X375" s="104" t="s">
        <v>386</v>
      </c>
      <c r="Y375" s="129" t="s">
        <v>389</v>
      </c>
      <c r="Z375" s="104"/>
      <c r="AA375" s="105" t="s">
        <v>558</v>
      </c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PDM - DESCARGA - DORMENTE</v>
      </c>
      <c r="AJ375" s="9" t="str">
        <f>IF(BS_CONTROLE[[#This Row],[Atividade]]=0, "-", BS_CONTROLE[[#This Row],[Atividade]])</f>
        <v>PDM - DESCARGA - DORMENTE</v>
      </c>
      <c r="AK375" s="31" t="str">
        <f>BS_CONTROLE[[#This Row],[Local - Partida]]</f>
        <v>-</v>
      </c>
      <c r="AL375" s="31" t="str">
        <f>BS_CONTROLE[[#This Row],[Local - Encerramento]]</f>
        <v>-</v>
      </c>
      <c r="AM375" s="105" t="str">
        <f>IF(BS_CONTROLE[[#This Row],[Entre - Estações]]=0, "-", BS_CONTROLE[[#This Row],[Entre - Estações]])</f>
        <v>ZYQ-ZEM</v>
      </c>
      <c r="AN375" s="105" t="str">
        <f>IF(BS_CONTROLE[[#This Row],[SB]]=0, "-", BS_CONTROLE[[#This Row],[SB]])</f>
        <v>ZEM1302</v>
      </c>
      <c r="AO375" s="105">
        <f>IF(BS_CONTROLE[[#This Row],[SUB]]=0, "-", BS_CONTROLE[[#This Row],[SUB]])</f>
        <v>55</v>
      </c>
      <c r="AP375" s="105">
        <f>BS_CONTROLE[[#This Row],[KM - Inicio]]</f>
        <v>130.6</v>
      </c>
      <c r="AQ375" s="105">
        <f>BS_CONTROLE[[#This Row],[KM - Inicio]]</f>
        <v>130.6</v>
      </c>
      <c r="AR375" s="108">
        <v>0.44166666666666665</v>
      </c>
      <c r="AS375" s="108"/>
      <c r="AT375" s="108"/>
      <c r="AU375" s="136"/>
      <c r="AV375" s="136"/>
      <c r="AW375" s="14"/>
      <c r="AX375" s="14"/>
      <c r="AY375" s="164">
        <f>IF(D375="","*",IFERROR(IF(ISODD(COUNT(AS375:AX375)),"ERRO",SUM((AT375-AS375),(AV375-AU375),(AX375-AW375))),"ERRO"))</f>
        <v>0</v>
      </c>
      <c r="AZ375" s="153"/>
      <c r="BA375" s="109"/>
      <c r="BB375" s="10" t="str">
        <f>IFERROR(_xlfn.XLOOKUP(AI375, BS_ATIVIDADE[ATIVIDADE],BS_ATIVIDADE[UNIDADE] ), "*")</f>
        <v>Nº DE DORMENTES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5" s="150"/>
      <c r="BG375" s="16"/>
      <c r="BH375" s="17"/>
      <c r="BI375" s="17"/>
      <c r="BJ375" s="17" t="s">
        <v>1518</v>
      </c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Produção e Intervalo</v>
      </c>
      <c r="BR375" s="19">
        <f>IF(OR(B375="",F375=""),"*",AY375/P375)</f>
        <v>0</v>
      </c>
      <c r="BS375" s="19">
        <f>IF(OR(B375="",F375=""),"*",BA375/Q375)</f>
        <v>0</v>
      </c>
      <c r="BT375" s="8" t="str">
        <f t="shared" si="8"/>
        <v/>
      </c>
    </row>
    <row r="376" spans="1:72" hidden="1">
      <c r="A376" s="47" t="str">
        <f>D376&amp;B376</f>
        <v>V8946093</v>
      </c>
      <c r="B376" s="102">
        <v>46093</v>
      </c>
      <c r="C376" s="135">
        <f>IF(BS_CONTROLE[[#This Row],[DATA]]="","",WEEKNUM(BS_CONTROLE[[#This Row],[DATA]]))</f>
        <v>11</v>
      </c>
      <c r="D376" s="104" t="s">
        <v>768</v>
      </c>
      <c r="E376" s="159">
        <v>121</v>
      </c>
      <c r="F376" s="126" t="s">
        <v>663</v>
      </c>
      <c r="G376" s="142" t="str">
        <f>IF(D376="","*",VLOOKUP(F376,BS_ATIVIDADE[],3,FALSE))</f>
        <v>MECANIZAÇÃO - SOCADORA</v>
      </c>
      <c r="H376" s="106" t="s">
        <v>1302</v>
      </c>
      <c r="I376" s="106" t="s">
        <v>1068</v>
      </c>
      <c r="J376" s="105">
        <v>55</v>
      </c>
      <c r="K376" s="105">
        <v>132.5</v>
      </c>
      <c r="L376" s="105">
        <v>131.97999999999999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6" s="106">
        <v>0.38541666666666669</v>
      </c>
      <c r="P376" s="106">
        <v>8.3333333333333329E-2</v>
      </c>
      <c r="Q376" s="105">
        <v>480</v>
      </c>
      <c r="R376" s="10" t="str">
        <f>IFERROR(_xlfn.XLOOKUP(F376, BS_ATIVIDADE[ATIVIDADE],BS_ATIVIDADE[UNIDADE] ), "*")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6" s="105" t="s">
        <v>1072</v>
      </c>
      <c r="W376" s="151" t="s">
        <v>1013</v>
      </c>
      <c r="X376" s="104" t="s">
        <v>386</v>
      </c>
      <c r="Y376" s="129" t="s">
        <v>389</v>
      </c>
      <c r="Z376" s="104"/>
      <c r="AA376" s="105">
        <v>1</v>
      </c>
      <c r="AB376" s="103" t="s">
        <v>377</v>
      </c>
      <c r="AC376" s="152" t="s">
        <v>371</v>
      </c>
      <c r="AD376" s="107">
        <v>0.35416666666666669</v>
      </c>
      <c r="AE376" s="105">
        <v>6239</v>
      </c>
      <c r="AF376" s="105"/>
      <c r="AG376" s="105"/>
      <c r="AH376" s="15"/>
      <c r="AI376" s="126" t="str">
        <f>IF(BS_CONTROLE[[#This Row],[Atividade]]=0, "-", BS_CONTROLE[[#This Row],[Atividade]])</f>
        <v>MECANIZAÇÃO - SOCADORA</v>
      </c>
      <c r="AJ376" s="9" t="str">
        <f>IF(BS_CONTROLE[[#This Row],[Atividade]]=0, "-", BS_CONTROLE[[#This Row],[Atividade]])</f>
        <v>MECANIZAÇÃO - SOCADORA</v>
      </c>
      <c r="AK376" s="31" t="str">
        <f>BS_CONTROLE[[#This Row],[Local - Partida]]</f>
        <v>ZEM130-1</v>
      </c>
      <c r="AL376" s="31" t="str">
        <f>BS_CONTROLE[[#This Row],[Local - Encerramento]]</f>
        <v>ZEM130-2</v>
      </c>
      <c r="AM376" s="105" t="str">
        <f>IF(BS_CONTROLE[[#This Row],[Entre - Estações]]=0, "-", BS_CONTROLE[[#This Row],[Entre - Estações]])</f>
        <v>ZYQ-ZEM</v>
      </c>
      <c r="AN376" s="105" t="str">
        <f>IF(BS_CONTROLE[[#This Row],[SB]]=0, "-", BS_CONTROLE[[#This Row],[SB]])</f>
        <v>ZEM1302</v>
      </c>
      <c r="AO376" s="105">
        <f>IF(BS_CONTROLE[[#This Row],[SUB]]=0, "-", BS_CONTROLE[[#This Row],[SUB]])</f>
        <v>55</v>
      </c>
      <c r="AP376" s="105">
        <f>BS_CONTROLE[[#This Row],[KM - Inicio]]</f>
        <v>132.5</v>
      </c>
      <c r="AQ376" s="105">
        <f>BS_CONTROLE[[#This Row],[KM - Inicio]]</f>
        <v>132.5</v>
      </c>
      <c r="AR376" s="108"/>
      <c r="AS376" s="108"/>
      <c r="AT376" s="108"/>
      <c r="AU376" s="136"/>
      <c r="AV376" s="136"/>
      <c r="AW376" s="14"/>
      <c r="AX376" s="14"/>
      <c r="AY376" s="164">
        <f>IF(D376="","*",IFERROR(IF(ISODD(COUNT(AS376:AX376)),"ERRO",SUM((AT376-AS376),(AV376-AU376),(AX376-AW376))),"ERRO"))</f>
        <v>0</v>
      </c>
      <c r="AZ376" s="153"/>
      <c r="BA376" s="109"/>
      <c r="BB376" s="10" t="str">
        <f>IFERROR(_xlfn.XLOOKUP(AI376, BS_ATIVIDADE[ATIVIDADE],BS_ATIVIDADE[UNIDADE] ), "*")</f>
        <v>M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6" s="150"/>
      <c r="BG376" s="16"/>
      <c r="BH376" s="17"/>
      <c r="BI376" s="17"/>
      <c r="BJ376" s="17" t="s">
        <v>1431</v>
      </c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Produção e Intervalo</v>
      </c>
      <c r="BR376" s="19">
        <f>IF(OR(B376="",F376=""),"*",AY376/P376)</f>
        <v>0</v>
      </c>
      <c r="BS376" s="19">
        <f>IF(OR(B376="",F376=""),"*",BA376/Q376)</f>
        <v>0</v>
      </c>
      <c r="BT376" s="8" t="str">
        <f t="shared" si="8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>MOD ZRB46093</v>
      </c>
      <c r="B378" s="102">
        <v>46093</v>
      </c>
      <c r="C378" s="135">
        <f>IF(BS_CONTROLE[[#This Row],[DATA]]="","",WEEKNUM(BS_CONTROLE[[#This Row],[DATA]]))</f>
        <v>11</v>
      </c>
      <c r="D378" s="104" t="s">
        <v>582</v>
      </c>
      <c r="E378" s="159">
        <v>39</v>
      </c>
      <c r="F378" s="126" t="s">
        <v>548</v>
      </c>
      <c r="G378" s="142" t="str">
        <f>IF(D378="","*",VLOOKUP(F378,BS_ATIVIDADE[],3,FALSE))</f>
        <v>OUTROS</v>
      </c>
      <c r="H378" s="106" t="s">
        <v>558</v>
      </c>
      <c r="I378" s="106" t="s">
        <v>558</v>
      </c>
      <c r="J378" s="105">
        <v>55</v>
      </c>
      <c r="K378" s="105">
        <v>145.9</v>
      </c>
      <c r="L378" s="105">
        <v>151.69999999999999</v>
      </c>
      <c r="M378" s="127" t="s">
        <v>1104</v>
      </c>
      <c r="N378" s="127" t="s">
        <v>1105</v>
      </c>
      <c r="O378" s="106">
        <v>0.33333333333333331</v>
      </c>
      <c r="P378" s="106">
        <v>0.33333333333333331</v>
      </c>
      <c r="Q378" s="105">
        <v>1</v>
      </c>
      <c r="R378" s="10" t="str">
        <f>IFERROR(_xlfn.XLOOKUP(F378, BS_ATIVIDADE[ATIVIDADE],BS_ATIVIDADE[UNIDADE] ), "*")</f>
        <v>BINÁRIO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8" s="105" t="s">
        <v>1074</v>
      </c>
      <c r="W378" s="151" t="s">
        <v>1519</v>
      </c>
      <c r="X378" s="104" t="s">
        <v>386</v>
      </c>
      <c r="Y378" s="129" t="s">
        <v>389</v>
      </c>
      <c r="Z378" s="104"/>
      <c r="AA378" s="105" t="s">
        <v>558</v>
      </c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BLOCO</v>
      </c>
      <c r="AJ378" s="9" t="str">
        <f>IF(BS_CONTROLE[[#This Row],[Atividade]]=0, "-", BS_CONTROLE[[#This Row],[Atividade]])</f>
        <v>BLOCO</v>
      </c>
      <c r="AK378" s="31" t="str">
        <f>BS_CONTROLE[[#This Row],[Local - Partida]]</f>
        <v>-</v>
      </c>
      <c r="AL378" s="31" t="str">
        <f>BS_CONTROLE[[#This Row],[Local - Encerramento]]</f>
        <v>-</v>
      </c>
      <c r="AM378" s="105" t="str">
        <f>IF(BS_CONTROLE[[#This Row],[Entre - Estações]]=0, "-", BS_CONTROLE[[#This Row],[Entre - Estações]])</f>
        <v>ZEJ-ZRB</v>
      </c>
      <c r="AN378" s="105" t="str">
        <f>IF(BS_CONTROLE[[#This Row],[SB]]=0, "-", BS_CONTROLE[[#This Row],[SB]])</f>
        <v>ZEJZRB</v>
      </c>
      <c r="AO378" s="105">
        <f>IF(BS_CONTROLE[[#This Row],[SUB]]=0, "-", BS_CONTROLE[[#This Row],[SUB]])</f>
        <v>55</v>
      </c>
      <c r="AP378" s="105">
        <f>BS_CONTROLE[[#This Row],[KM - Inicio]]</f>
        <v>145.9</v>
      </c>
      <c r="AQ378" s="105">
        <f>BS_CONTROLE[[#This Row],[KM - Inicio]]</f>
        <v>145.9</v>
      </c>
      <c r="AR378" s="108">
        <v>0.41666666666666669</v>
      </c>
      <c r="AS378" s="108">
        <v>0.41666666666666669</v>
      </c>
      <c r="AT378" s="108">
        <v>0.83333333333333337</v>
      </c>
      <c r="AU378" s="136"/>
      <c r="AV378" s="136"/>
      <c r="AW378" s="14"/>
      <c r="AX378" s="14"/>
      <c r="AY378" s="164">
        <f>IF(D378="","*",IFERROR(IF(ISODD(COUNT(AS378:AX378)),"ERRO",SUM((AT378-AS378),(AV378-AU378),(AX378-AW378))),"ERRO"))</f>
        <v>0.41666666666666669</v>
      </c>
      <c r="AZ378" s="153"/>
      <c r="BA378" s="109"/>
      <c r="BB378" s="10" t="str">
        <f>IFERROR(_xlfn.XLOOKUP(AI378, BS_ATIVIDADE[ATIVIDADE],BS_ATIVIDADE[UNIDADE] ), "*")</f>
        <v>BINÁRIO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8" s="150"/>
      <c r="BG378" s="16"/>
      <c r="BH378" s="17">
        <v>1</v>
      </c>
      <c r="BI378" s="17"/>
      <c r="BJ378" s="17" t="s">
        <v>1520</v>
      </c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Produção</v>
      </c>
      <c r="BR378" s="19">
        <f>IF(OR(B378="",F378=""),"*",AY378/P378)</f>
        <v>1.2500000000000002</v>
      </c>
      <c r="BS378" s="19">
        <f>IF(OR(B378="",F378=""),"*",BA378/Q378)</f>
        <v>0</v>
      </c>
      <c r="BT378" s="8" t="str">
        <f t="shared" si="8"/>
        <v/>
      </c>
    </row>
    <row r="379" spans="1:72" hidden="1">
      <c r="A379" s="47" t="str">
        <f>D379&amp;B379</f>
        <v>W9646093</v>
      </c>
      <c r="B379" s="102">
        <v>46093</v>
      </c>
      <c r="C379" s="135">
        <f>IF(BS_CONTROLE[[#This Row],[DATA]]="","",WEEKNUM(BS_CONTROLE[[#This Row],[DATA]]))</f>
        <v>11</v>
      </c>
      <c r="D379" s="104" t="s">
        <v>805</v>
      </c>
      <c r="E379" s="159">
        <v>34</v>
      </c>
      <c r="F379" s="126" t="s">
        <v>682</v>
      </c>
      <c r="G379" s="142" t="str">
        <f>IF(D379="","*",VLOOKUP(F379,BS_ATIVIDADE[],3,FALSE))</f>
        <v>MODERNIZAÇÃO</v>
      </c>
      <c r="H379" s="106" t="s">
        <v>1096</v>
      </c>
      <c r="I379" s="106" t="s">
        <v>1096</v>
      </c>
      <c r="J379" s="105">
        <v>55</v>
      </c>
      <c r="K379" s="105">
        <v>147.52000000000001</v>
      </c>
      <c r="L379" s="105" t="s">
        <v>558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79" s="106">
        <v>0.31944444444444442</v>
      </c>
      <c r="P379" s="106">
        <v>0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9" s="105" t="s">
        <v>1074</v>
      </c>
      <c r="W379" s="151" t="s">
        <v>1521</v>
      </c>
      <c r="X379" s="104" t="s">
        <v>386</v>
      </c>
      <c r="Y379" s="129" t="s">
        <v>389</v>
      </c>
      <c r="Z379" s="104"/>
      <c r="AA379" s="105">
        <v>1</v>
      </c>
      <c r="AB379" s="103" t="s">
        <v>377</v>
      </c>
      <c r="AC379" s="152" t="s">
        <v>371</v>
      </c>
      <c r="AD379" s="107">
        <v>0.29166666666666669</v>
      </c>
      <c r="AE379" s="105"/>
      <c r="AF379" s="105"/>
      <c r="AG379" s="105"/>
      <c r="AH379" s="15"/>
      <c r="AI379" s="126" t="str">
        <f>IF(BS_CONTROLE[[#This Row],[Atividade]]=0, "-", BS_CONTROLE[[#This Row],[Atividade]])</f>
        <v>MODERNIZAÇÃO - OUTRA ATIVIDADE</v>
      </c>
      <c r="AJ379" s="9" t="str">
        <f>IF(BS_CONTROLE[[#This Row],[Atividade]]=0, "-", BS_CONTROLE[[#This Row],[Atividade]])</f>
        <v>MODERNIZAÇÃO - OUTRA ATIVIDADE</v>
      </c>
      <c r="AK379" s="31" t="str">
        <f>BS_CONTROLE[[#This Row],[Local - Partida]]</f>
        <v xml:space="preserve">ZEM1 </v>
      </c>
      <c r="AL379" s="31" t="str">
        <f>BS_CONTROLE[[#This Row],[Local - Encerramento]]</f>
        <v xml:space="preserve">ZEM1 </v>
      </c>
      <c r="AM379" s="105" t="str">
        <f>IF(BS_CONTROLE[[#This Row],[Entre - Estações]]=0, "-", BS_CONTROLE[[#This Row],[Entre - Estações]])</f>
        <v>ZEJ-ZEV</v>
      </c>
      <c r="AN379" s="105" t="str">
        <f>IF(BS_CONTROLE[[#This Row],[SB]]=0, "-", BS_CONTROLE[[#This Row],[SB]])</f>
        <v>148ZEJ2</v>
      </c>
      <c r="AO379" s="105">
        <f>IF(BS_CONTROLE[[#This Row],[SUB]]=0, "-", BS_CONTROLE[[#This Row],[SUB]])</f>
        <v>55</v>
      </c>
      <c r="AP379" s="105">
        <f>BS_CONTROLE[[#This Row],[KM - Inicio]]</f>
        <v>147.52000000000001</v>
      </c>
      <c r="AQ379" s="105">
        <f>BS_CONTROLE[[#This Row],[KM - Inicio]]</f>
        <v>147.52000000000001</v>
      </c>
      <c r="AR379" s="108">
        <v>0.31111111111111112</v>
      </c>
      <c r="AS379" s="108">
        <v>0</v>
      </c>
      <c r="AT379" s="108">
        <v>0</v>
      </c>
      <c r="AU379" s="136"/>
      <c r="AV379" s="136"/>
      <c r="AW379" s="14"/>
      <c r="AX379" s="14"/>
      <c r="AY379" s="164">
        <f>IF(D379="","*",IFERROR(IF(ISODD(COUNT(AS379:AX379)),"ERRO",SUM((AT379-AS379),(AV379-AU379),(AX379-AW379))),"ERRO"))</f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9" s="150"/>
      <c r="BG379" s="16"/>
      <c r="BH379" s="17">
        <v>1</v>
      </c>
      <c r="BI379" s="17"/>
      <c r="BJ379" s="17" t="s">
        <v>1520</v>
      </c>
      <c r="BK379" s="18"/>
      <c r="BL379" s="16"/>
      <c r="BM379" s="130"/>
      <c r="BN379" s="130"/>
      <c r="BO379" s="130"/>
      <c r="BP379" s="18"/>
      <c r="BQ379" s="12" t="e">
        <f>IF(AND(BR379&lt;1,BS379&lt;1),"Produção e Intervalo",IF(BR379&lt;1,"Intervalo",IF(BS379&lt;1,"Produção","Aderente")))</f>
        <v>#DIV/0!</v>
      </c>
      <c r="BR379" s="19" t="e">
        <f>IF(OR(B379="",F379=""),"*",AY379/P379)</f>
        <v>#DIV/0!</v>
      </c>
      <c r="BS379" s="19">
        <f>IF(OR(B379="",F379=""),"*",BA379/Q379)</f>
        <v>0</v>
      </c>
      <c r="BT379" s="8" t="str">
        <f t="shared" si="8"/>
        <v/>
      </c>
    </row>
    <row r="380" spans="1:72" hidden="1">
      <c r="A380" s="47" t="str">
        <f>D380&amp;B380</f>
        <v>W9946093</v>
      </c>
      <c r="B380" s="102">
        <v>46093</v>
      </c>
      <c r="C380" s="135">
        <f>IF(BS_CONTROLE[[#This Row],[DATA]]="","",WEEKNUM(BS_CONTROLE[[#This Row],[DATA]]))</f>
        <v>11</v>
      </c>
      <c r="D380" s="104" t="s">
        <v>808</v>
      </c>
      <c r="E380" s="159">
        <v>35</v>
      </c>
      <c r="F380" s="126" t="s">
        <v>687</v>
      </c>
      <c r="G380" s="142" t="str">
        <f>IF(D380="","*",VLOOKUP(F380,BS_ATIVIDADE[],3,FALSE))</f>
        <v>MODERNIZAÇÃO</v>
      </c>
      <c r="H380" s="106" t="s">
        <v>54</v>
      </c>
      <c r="I380" s="106" t="s">
        <v>1096</v>
      </c>
      <c r="J380" s="105">
        <v>55</v>
      </c>
      <c r="K380" s="105">
        <v>150.1</v>
      </c>
      <c r="L380" s="105" t="s">
        <v>558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0" s="106">
        <v>0.30555555555555558</v>
      </c>
      <c r="P380" s="106">
        <v>0</v>
      </c>
      <c r="Q380" s="105">
        <v>10</v>
      </c>
      <c r="R380" s="10" t="str">
        <f>IFERROR(_xlfn.XLOOKUP(F380, BS_ATIVIDADE[ATIVIDADE],BS_ATIVIDADE[UNIDADE] ), "*")</f>
        <v>VAGÕES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0" s="105" t="s">
        <v>1074</v>
      </c>
      <c r="W380" s="151" t="s">
        <v>1522</v>
      </c>
      <c r="X380" s="104" t="s">
        <v>386</v>
      </c>
      <c r="Y380" s="129" t="s">
        <v>389</v>
      </c>
      <c r="Z380" s="104"/>
      <c r="AA380" s="105">
        <v>1</v>
      </c>
      <c r="AB380" s="103" t="s">
        <v>377</v>
      </c>
      <c r="AC380" s="152" t="s">
        <v>371</v>
      </c>
      <c r="AD380" s="107">
        <v>0.29166666666666669</v>
      </c>
      <c r="AE380" s="105"/>
      <c r="AF380" s="105"/>
      <c r="AG380" s="105"/>
      <c r="AH380" s="15"/>
      <c r="AI380" s="126" t="str">
        <f>IF(BS_CONTROLE[[#This Row],[Atividade]]=0, "-", BS_CONTROLE[[#This Row],[Atividade]])</f>
        <v>MODERNIZAÇÃO - PEDRA - DESCARGA</v>
      </c>
      <c r="AJ380" s="9" t="str">
        <f>IF(BS_CONTROLE[[#This Row],[Atividade]]=0, "-", BS_CONTROLE[[#This Row],[Atividade]])</f>
        <v>MODERNIZAÇÃO - PEDRA - DESCARGA</v>
      </c>
      <c r="AK380" s="31" t="str">
        <f>BS_CONTROLE[[#This Row],[Local - Partida]]</f>
        <v>ZEM1</v>
      </c>
      <c r="AL380" s="31" t="str">
        <f>BS_CONTROLE[[#This Row],[Local - Encerramento]]</f>
        <v xml:space="preserve">ZEM1 </v>
      </c>
      <c r="AM380" s="105" t="str">
        <f>IF(BS_CONTROLE[[#This Row],[Entre - Estações]]=0, "-", BS_CONTROLE[[#This Row],[Entre - Estações]])</f>
        <v>ZEJ-ZEV</v>
      </c>
      <c r="AN380" s="105" t="str">
        <f>IF(BS_CONTROLE[[#This Row],[SB]]=0, "-", BS_CONTROLE[[#This Row],[SB]])</f>
        <v>ZRB1502</v>
      </c>
      <c r="AO380" s="105">
        <f>IF(BS_CONTROLE[[#This Row],[SUB]]=0, "-", BS_CONTROLE[[#This Row],[SUB]])</f>
        <v>55</v>
      </c>
      <c r="AP380" s="105">
        <f>BS_CONTROLE[[#This Row],[KM - Inicio]]</f>
        <v>150.1</v>
      </c>
      <c r="AQ380" s="105">
        <f>BS_CONTROLE[[#This Row],[KM - Inicio]]</f>
        <v>150.1</v>
      </c>
      <c r="AR380" s="108">
        <v>0.30277777777777776</v>
      </c>
      <c r="AS380" s="108">
        <v>0</v>
      </c>
      <c r="AT380" s="108">
        <v>0</v>
      </c>
      <c r="AU380" s="136"/>
      <c r="AV380" s="136"/>
      <c r="AW380" s="14"/>
      <c r="AX380" s="14"/>
      <c r="AY380" s="164">
        <f>IF(D380="","*",IFERROR(IF(ISODD(COUNT(AS380:AX380)),"ERRO",SUM((AT380-AS380),(AV380-AU380),(AX380-AW380))),"ERRO"))</f>
        <v>0</v>
      </c>
      <c r="AZ380" s="153"/>
      <c r="BA380" s="109"/>
      <c r="BB380" s="10" t="str">
        <f>IFERROR(_xlfn.XLOOKUP(AI380, BS_ATIVIDADE[ATIVIDADE],BS_ATIVIDADE[UNIDADE] ), "*")</f>
        <v>VAGÕES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0" s="150"/>
      <c r="BG380" s="16"/>
      <c r="BH380" s="17">
        <v>1</v>
      </c>
      <c r="BI380" s="17"/>
      <c r="BJ380" s="17" t="s">
        <v>1520</v>
      </c>
      <c r="BK380" s="18"/>
      <c r="BL380" s="16"/>
      <c r="BM380" s="130"/>
      <c r="BN380" s="130"/>
      <c r="BO380" s="130"/>
      <c r="BP380" s="18"/>
      <c r="BQ380" s="12" t="e">
        <f>IF(AND(BR380&lt;1,BS380&lt;1),"Produção e Intervalo",IF(BR380&lt;1,"Intervalo",IF(BS380&lt;1,"Produção","Aderente")))</f>
        <v>#DIV/0!</v>
      </c>
      <c r="BR380" s="19" t="e">
        <f>IF(OR(B380="",F380=""),"*",AY380/P380)</f>
        <v>#DIV/0!</v>
      </c>
      <c r="BS380" s="19">
        <f>IF(OR(B380="",F380=""),"*",BA380/Q380)</f>
        <v>0</v>
      </c>
      <c r="BT380" s="8" t="str">
        <f t="shared" si="8"/>
        <v/>
      </c>
    </row>
    <row r="381" spans="1:72" hidden="1">
      <c r="A381" s="47" t="str">
        <f>D381&amp;B381</f>
        <v>V9546093</v>
      </c>
      <c r="B381" s="102">
        <v>46093</v>
      </c>
      <c r="C381" s="135">
        <f>IF(BS_CONTROLE[[#This Row],[DATA]]="","",WEEKNUM(BS_CONTROLE[[#This Row],[DATA]]))</f>
        <v>11</v>
      </c>
      <c r="D381" s="104" t="s">
        <v>779</v>
      </c>
      <c r="E381" s="159">
        <v>36</v>
      </c>
      <c r="F381" s="126" t="s">
        <v>689</v>
      </c>
      <c r="G381" s="142" t="str">
        <f>IF(D381="","*",VLOOKUP(F381,BS_ATIVIDADE[],3,FALSE))</f>
        <v>MODERNIZAÇÃO</v>
      </c>
      <c r="H381" s="106" t="s">
        <v>53</v>
      </c>
      <c r="I381" s="106" t="s">
        <v>54</v>
      </c>
      <c r="J381" s="105">
        <v>55</v>
      </c>
      <c r="K381" s="105">
        <v>150.15</v>
      </c>
      <c r="L381" s="105" t="s">
        <v>558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1" s="106">
        <v>0.30555555555555558</v>
      </c>
      <c r="P381" s="106">
        <v>0</v>
      </c>
      <c r="Q381" s="105">
        <v>500</v>
      </c>
      <c r="R381" s="10" t="str">
        <f>IFERROR(_xlfn.XLOOKUP(F381, BS_ATIVIDADE[ATIVIDADE],BS_ATIVIDADE[UNIDADE] ), "*")</f>
        <v>M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1" s="105" t="s">
        <v>1074</v>
      </c>
      <c r="W381" s="151" t="s">
        <v>1523</v>
      </c>
      <c r="X381" s="104" t="s">
        <v>386</v>
      </c>
      <c r="Y381" s="129" t="s">
        <v>389</v>
      </c>
      <c r="Z381" s="104"/>
      <c r="AA381" s="105">
        <v>1</v>
      </c>
      <c r="AB381" s="103" t="s">
        <v>377</v>
      </c>
      <c r="AC381" s="152" t="s">
        <v>371</v>
      </c>
      <c r="AD381" s="107">
        <v>0.29166666666666669</v>
      </c>
      <c r="AE381" s="105"/>
      <c r="AF381" s="105"/>
      <c r="AG381" s="105"/>
      <c r="AH381" s="15"/>
      <c r="AI381" s="126" t="str">
        <f>IF(BS_CONTROLE[[#This Row],[Atividade]]=0, "-", BS_CONTROLE[[#This Row],[Atividade]])</f>
        <v>MODERNIZAÇÃO - SOCADORA</v>
      </c>
      <c r="AJ381" s="9" t="str">
        <f>IF(BS_CONTROLE[[#This Row],[Atividade]]=0, "-", BS_CONTROLE[[#This Row],[Atividade]])</f>
        <v>MODERNIZAÇÃO - SOCADORA</v>
      </c>
      <c r="AK381" s="31" t="str">
        <f>BS_CONTROLE[[#This Row],[Local - Partida]]</f>
        <v>ZEM1301</v>
      </c>
      <c r="AL381" s="31" t="str">
        <f>BS_CONTROLE[[#This Row],[Local - Encerramento]]</f>
        <v>ZEM1</v>
      </c>
      <c r="AM381" s="105" t="str">
        <f>IF(BS_CONTROLE[[#This Row],[Entre - Estações]]=0, "-", BS_CONTROLE[[#This Row],[Entre - Estações]])</f>
        <v>ZEJ-ZEV</v>
      </c>
      <c r="AN381" s="105" t="str">
        <f>IF(BS_CONTROLE[[#This Row],[SB]]=0, "-", BS_CONTROLE[[#This Row],[SB]])</f>
        <v>ZRB1502</v>
      </c>
      <c r="AO381" s="105">
        <f>IF(BS_CONTROLE[[#This Row],[SUB]]=0, "-", BS_CONTROLE[[#This Row],[SUB]])</f>
        <v>55</v>
      </c>
      <c r="AP381" s="105">
        <f>BS_CONTROLE[[#This Row],[KM - Inicio]]</f>
        <v>150.15</v>
      </c>
      <c r="AQ381" s="105">
        <f>BS_CONTROLE[[#This Row],[KM - Inicio]]</f>
        <v>150.15</v>
      </c>
      <c r="AR381" s="108">
        <v>0.30277777777777776</v>
      </c>
      <c r="AS381" s="108">
        <v>0</v>
      </c>
      <c r="AT381" s="108">
        <v>0</v>
      </c>
      <c r="AU381" s="136"/>
      <c r="AV381" s="136"/>
      <c r="AW381" s="14"/>
      <c r="AX381" s="14"/>
      <c r="AY381" s="164">
        <f>IF(D381="","*",IFERROR(IF(ISODD(COUNT(AS381:AX381)),"ERRO",SUM((AT381-AS381),(AV381-AU381),(AX381-AW381))),"ERRO"))</f>
        <v>0</v>
      </c>
      <c r="AZ381" s="153"/>
      <c r="BA381" s="109"/>
      <c r="BB381" s="10" t="str">
        <f>IFERROR(_xlfn.XLOOKUP(AI381, BS_ATIVIDADE[ATIVIDADE],BS_ATIVIDADE[UNIDADE] ), "*")</f>
        <v>M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1" s="150"/>
      <c r="BG381" s="16"/>
      <c r="BH381" s="17">
        <v>1</v>
      </c>
      <c r="BI381" s="17"/>
      <c r="BJ381" s="17" t="s">
        <v>1520</v>
      </c>
      <c r="BK381" s="18"/>
      <c r="BL381" s="16"/>
      <c r="BM381" s="130"/>
      <c r="BN381" s="130"/>
      <c r="BO381" s="130"/>
      <c r="BP381" s="18"/>
      <c r="BQ381" s="12" t="e">
        <f>IF(AND(BR381&lt;1,BS381&lt;1),"Produção e Intervalo",IF(BR381&lt;1,"Intervalo",IF(BS381&lt;1,"Produção","Aderente")))</f>
        <v>#DIV/0!</v>
      </c>
      <c r="BR381" s="19" t="e">
        <f>IF(OR(B381="",F381=""),"*",AY381/P381)</f>
        <v>#DIV/0!</v>
      </c>
      <c r="BS381" s="19">
        <f>IF(OR(B381="",F381=""),"*",BA381/Q381)</f>
        <v>0</v>
      </c>
      <c r="BT381" s="8" t="str">
        <f t="shared" si="8"/>
        <v/>
      </c>
    </row>
    <row r="382" spans="1:72" hidden="1">
      <c r="A382" s="47" t="str">
        <f>D382&amp;B382</f>
        <v>W9746093</v>
      </c>
      <c r="B382" s="102">
        <v>46093</v>
      </c>
      <c r="C382" s="135">
        <f>IF(BS_CONTROLE[[#This Row],[DATA]]="","",WEEKNUM(BS_CONTROLE[[#This Row],[DATA]]))</f>
        <v>11</v>
      </c>
      <c r="D382" s="104" t="s">
        <v>806</v>
      </c>
      <c r="E382" s="159">
        <v>37</v>
      </c>
      <c r="F382" s="126" t="s">
        <v>682</v>
      </c>
      <c r="G382" s="142" t="str">
        <f>IF(D382="","*",VLOOKUP(F382,BS_ATIVIDADE[],3,FALSE))</f>
        <v>MODERNIZAÇÃO</v>
      </c>
      <c r="H382" s="106" t="s">
        <v>131</v>
      </c>
      <c r="I382" s="106" t="s">
        <v>131</v>
      </c>
      <c r="J382" s="105">
        <v>55</v>
      </c>
      <c r="K382" s="105">
        <v>150.6</v>
      </c>
      <c r="L382" s="105" t="s">
        <v>558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2" s="106">
        <v>0.30555555555555558</v>
      </c>
      <c r="P382" s="106">
        <v>0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2" s="105" t="s">
        <v>1074</v>
      </c>
      <c r="W382" s="151" t="s">
        <v>1524</v>
      </c>
      <c r="X382" s="104" t="s">
        <v>386</v>
      </c>
      <c r="Y382" s="129" t="s">
        <v>389</v>
      </c>
      <c r="Z382" s="104"/>
      <c r="AA382" s="105">
        <v>1</v>
      </c>
      <c r="AB382" s="103" t="s">
        <v>377</v>
      </c>
      <c r="AC382" s="152" t="s">
        <v>371</v>
      </c>
      <c r="AD382" s="107">
        <v>0.29166666666666669</v>
      </c>
      <c r="AE382" s="105"/>
      <c r="AF382" s="105"/>
      <c r="AG382" s="105"/>
      <c r="AH382" s="15"/>
      <c r="AI382" s="126" t="str">
        <f>IF(BS_CONTROLE[[#This Row],[Atividade]]=0, "-", BS_CONTROLE[[#This Row],[Atividade]])</f>
        <v>MODERNIZAÇÃO - OUTRA ATIVIDADE</v>
      </c>
      <c r="AJ382" s="9" t="str">
        <f>IF(BS_CONTROLE[[#This Row],[Atividade]]=0, "-", BS_CONTROLE[[#This Row],[Atividade]])</f>
        <v>MODERNIZAÇÃO - OUTRA ATIVIDADE</v>
      </c>
      <c r="AK382" s="31" t="str">
        <f>BS_CONTROLE[[#This Row],[Local - Partida]]</f>
        <v>Z3VZEV</v>
      </c>
      <c r="AL382" s="31" t="str">
        <f>BS_CONTROLE[[#This Row],[Local - Encerramento]]</f>
        <v>Z3VZEV</v>
      </c>
      <c r="AM382" s="105" t="str">
        <f>IF(BS_CONTROLE[[#This Row],[Entre - Estações]]=0, "-", BS_CONTROLE[[#This Row],[Entre - Estações]])</f>
        <v>ZEJ-ZEV</v>
      </c>
      <c r="AN382" s="105" t="str">
        <f>IF(BS_CONTROLE[[#This Row],[SB]]=0, "-", BS_CONTROLE[[#This Row],[SB]])</f>
        <v>ZRB1502</v>
      </c>
      <c r="AO382" s="105">
        <f>IF(BS_CONTROLE[[#This Row],[SUB]]=0, "-", BS_CONTROLE[[#This Row],[SUB]])</f>
        <v>55</v>
      </c>
      <c r="AP382" s="105">
        <f>BS_CONTROLE[[#This Row],[KM - Inicio]]</f>
        <v>150.6</v>
      </c>
      <c r="AQ382" s="105">
        <f>BS_CONTROLE[[#This Row],[KM - Inicio]]</f>
        <v>150.6</v>
      </c>
      <c r="AR382" s="108">
        <v>0.31041666666666667</v>
      </c>
      <c r="AS382" s="108">
        <v>0</v>
      </c>
      <c r="AT382" s="108">
        <v>0</v>
      </c>
      <c r="AU382" s="136"/>
      <c r="AV382" s="136"/>
      <c r="AW382" s="14"/>
      <c r="AX382" s="14"/>
      <c r="AY382" s="164">
        <f>IF(D382="","*",IFERROR(IF(ISODD(COUNT(AS382:AX382)),"ERRO",SUM((AT382-AS382),(AV382-AU382),(AX382-AW382))),"ERRO"))</f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2" s="150"/>
      <c r="BG382" s="16"/>
      <c r="BH382" s="17">
        <v>1</v>
      </c>
      <c r="BI382" s="17"/>
      <c r="BJ382" s="17" t="s">
        <v>1520</v>
      </c>
      <c r="BK382" s="18"/>
      <c r="BL382" s="16"/>
      <c r="BM382" s="130"/>
      <c r="BN382" s="130"/>
      <c r="BO382" s="130"/>
      <c r="BP382" s="18"/>
      <c r="BQ382" s="12" t="e">
        <f>IF(AND(BR382&lt;1,BS382&lt;1),"Produção e Intervalo",IF(BR382&lt;1,"Intervalo",IF(BS382&lt;1,"Produção","Aderente")))</f>
        <v>#DIV/0!</v>
      </c>
      <c r="BR382" s="19" t="e">
        <f>IF(OR(B382="",F382=""),"*",AY382/P382)</f>
        <v>#DIV/0!</v>
      </c>
      <c r="BS382" s="19">
        <f>IF(OR(B382="",F382=""),"*",BA382/Q382)</f>
        <v>0</v>
      </c>
      <c r="BT382" s="8" t="str">
        <f t="shared" si="8"/>
        <v/>
      </c>
    </row>
    <row r="383" spans="1:72" hidden="1">
      <c r="A383" s="47" t="str">
        <f>D383&amp;B383</f>
        <v>V9646093</v>
      </c>
      <c r="B383" s="102">
        <v>46093</v>
      </c>
      <c r="C383" s="135">
        <f>IF(BS_CONTROLE[[#This Row],[DATA]]="","",WEEKNUM(BS_CONTROLE[[#This Row],[DATA]]))</f>
        <v>11</v>
      </c>
      <c r="D383" s="104" t="s">
        <v>782</v>
      </c>
      <c r="E383" s="159">
        <v>38</v>
      </c>
      <c r="F383" s="126" t="s">
        <v>689</v>
      </c>
      <c r="G383" s="142" t="str">
        <f>IF(D383="","*",VLOOKUP(F383,BS_ATIVIDADE[],3,FALSE))</f>
        <v>MODERNIZAÇÃO</v>
      </c>
      <c r="H383" s="106" t="s">
        <v>131</v>
      </c>
      <c r="I383" s="106" t="s">
        <v>131</v>
      </c>
      <c r="J383" s="105">
        <v>55</v>
      </c>
      <c r="K383" s="105">
        <v>150.6</v>
      </c>
      <c r="L383" s="105" t="s">
        <v>558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3" s="106">
        <v>0.30555555555555558</v>
      </c>
      <c r="P383" s="106">
        <v>0</v>
      </c>
      <c r="Q383" s="105">
        <v>500</v>
      </c>
      <c r="R383" s="10" t="str">
        <f>IFERROR(_xlfn.XLOOKUP(F383, BS_ATIVIDADE[ATIVIDADE],BS_ATIVIDADE[UNIDADE] ), "*")</f>
        <v>M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3" s="105" t="s">
        <v>1074</v>
      </c>
      <c r="W383" s="151" t="s">
        <v>1524</v>
      </c>
      <c r="X383" s="104" t="s">
        <v>386</v>
      </c>
      <c r="Y383" s="129" t="s">
        <v>389</v>
      </c>
      <c r="Z383" s="104"/>
      <c r="AA383" s="105">
        <v>1</v>
      </c>
      <c r="AB383" s="103" t="s">
        <v>377</v>
      </c>
      <c r="AC383" s="152" t="s">
        <v>371</v>
      </c>
      <c r="AD383" s="107">
        <v>0.29166666666666669</v>
      </c>
      <c r="AE383" s="105">
        <v>9316</v>
      </c>
      <c r="AF383" s="105">
        <v>9244</v>
      </c>
      <c r="AG383" s="105">
        <v>9278</v>
      </c>
      <c r="AH383" s="15"/>
      <c r="AI383" s="126" t="str">
        <f>IF(BS_CONTROLE[[#This Row],[Atividade]]=0, "-", BS_CONTROLE[[#This Row],[Atividade]])</f>
        <v>MODERNIZAÇÃO - SOCADORA</v>
      </c>
      <c r="AJ383" s="9" t="str">
        <f>IF(BS_CONTROLE[[#This Row],[Atividade]]=0, "-", BS_CONTROLE[[#This Row],[Atividade]])</f>
        <v>MODERNIZAÇÃO - SOCADORA</v>
      </c>
      <c r="AK383" s="31" t="str">
        <f>BS_CONTROLE[[#This Row],[Local - Partida]]</f>
        <v>Z3VZEV</v>
      </c>
      <c r="AL383" s="31" t="str">
        <f>BS_CONTROLE[[#This Row],[Local - Encerramento]]</f>
        <v>Z3VZEV</v>
      </c>
      <c r="AM383" s="105" t="str">
        <f>IF(BS_CONTROLE[[#This Row],[Entre - Estações]]=0, "-", BS_CONTROLE[[#This Row],[Entre - Estações]])</f>
        <v>ZEJ-ZEV</v>
      </c>
      <c r="AN383" s="105" t="str">
        <f>IF(BS_CONTROLE[[#This Row],[SB]]=0, "-", BS_CONTROLE[[#This Row],[SB]])</f>
        <v>ZRB1502</v>
      </c>
      <c r="AO383" s="105">
        <f>IF(BS_CONTROLE[[#This Row],[SUB]]=0, "-", BS_CONTROLE[[#This Row],[SUB]])</f>
        <v>55</v>
      </c>
      <c r="AP383" s="105">
        <f>BS_CONTROLE[[#This Row],[KM - Inicio]]</f>
        <v>150.6</v>
      </c>
      <c r="AQ383" s="105">
        <f>BS_CONTROLE[[#This Row],[KM - Inicio]]</f>
        <v>150.6</v>
      </c>
      <c r="AR383" s="108">
        <v>0.31041666666666667</v>
      </c>
      <c r="AS383" s="108">
        <v>0</v>
      </c>
      <c r="AT383" s="108">
        <v>0</v>
      </c>
      <c r="AU383" s="136"/>
      <c r="AV383" s="136"/>
      <c r="AW383" s="14"/>
      <c r="AX383" s="14"/>
      <c r="AY383" s="164">
        <f>IF(D383="","*",IFERROR(IF(ISODD(COUNT(AS383:AX383)),"ERRO",SUM((AT383-AS383),(AV383-AU383),(AX383-AW383))),"ERRO"))</f>
        <v>0</v>
      </c>
      <c r="AZ383" s="153"/>
      <c r="BA383" s="109"/>
      <c r="BB383" s="10" t="str">
        <f>IFERROR(_xlfn.XLOOKUP(AI383, BS_ATIVIDADE[ATIVIDADE],BS_ATIVIDADE[UNIDADE] ), "*")</f>
        <v>M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3" s="150"/>
      <c r="BG383" s="16"/>
      <c r="BH383" s="17">
        <v>1</v>
      </c>
      <c r="BI383" s="17"/>
      <c r="BJ383" s="17" t="s">
        <v>1520</v>
      </c>
      <c r="BK383" s="18"/>
      <c r="BL383" s="16"/>
      <c r="BM383" s="130"/>
      <c r="BN383" s="130"/>
      <c r="BO383" s="130"/>
      <c r="BP383" s="18"/>
      <c r="BQ383" s="12" t="e">
        <f>IF(AND(BR383&lt;1,BS383&lt;1),"Produção e Intervalo",IF(BR383&lt;1,"Intervalo",IF(BS383&lt;1,"Produção","Aderente")))</f>
        <v>#DIV/0!</v>
      </c>
      <c r="BR383" s="19" t="e">
        <f>IF(OR(B383="",F383=""),"*",AY383/P383)</f>
        <v>#DIV/0!</v>
      </c>
      <c r="BS383" s="19">
        <f>IF(OR(B383="",F383=""),"*",BA383/Q383)</f>
        <v>0</v>
      </c>
      <c r="BT383" s="8" t="str">
        <f t="shared" si="8"/>
        <v/>
      </c>
    </row>
    <row r="384" spans="1:72" hidden="1">
      <c r="A384" s="47" t="str">
        <f>D384&amp;B384</f>
        <v>MODERNIZAÇÃO TURMA 246093</v>
      </c>
      <c r="B384" s="102">
        <v>46093</v>
      </c>
      <c r="C384" s="135">
        <f>IF(BS_CONTROLE[[#This Row],[DATA]]="","",WEEKNUM(BS_CONTROLE[[#This Row],[DATA]]))</f>
        <v>11</v>
      </c>
      <c r="D384" s="104" t="s">
        <v>596</v>
      </c>
      <c r="E384" s="159">
        <v>378</v>
      </c>
      <c r="F384" s="126" t="s">
        <v>691</v>
      </c>
      <c r="G384" s="142" t="str">
        <f>IF(D384="","*",VLOOKUP(F384,BS_ATIVIDADE[],3,FALSE))</f>
        <v>MODERNIZAÇÃO</v>
      </c>
      <c r="H384" s="106" t="s">
        <v>558</v>
      </c>
      <c r="I384" s="106" t="s">
        <v>558</v>
      </c>
      <c r="J384" s="105">
        <v>55</v>
      </c>
      <c r="K384" s="105">
        <v>148</v>
      </c>
      <c r="L384" s="105">
        <v>148.4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84" s="106">
        <v>0.33333333333333331</v>
      </c>
      <c r="P384" s="106">
        <v>0</v>
      </c>
      <c r="Q384" s="105">
        <v>2</v>
      </c>
      <c r="R384" s="10" t="str">
        <f>IFERROR(_xlfn.XLOOKUP(F384, BS_ATIVIDADE[ATIVIDADE],BS_ATIVIDADE[UNIDADE] ), "*")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1074</v>
      </c>
      <c r="W384" s="151" t="s">
        <v>1025</v>
      </c>
      <c r="X384" s="104" t="s">
        <v>386</v>
      </c>
      <c r="Y384" s="129" t="s">
        <v>389</v>
      </c>
      <c r="Z384" s="104"/>
      <c r="AA384" s="105" t="s">
        <v>558</v>
      </c>
      <c r="AB384" s="103"/>
      <c r="AC384" s="152"/>
      <c r="AD384" s="107">
        <v>0.29166666666666669</v>
      </c>
      <c r="AE384" s="105"/>
      <c r="AF384" s="105"/>
      <c r="AG384" s="105"/>
      <c r="AH384" s="15"/>
      <c r="AI384" s="126" t="str">
        <f>IF(BS_CONTROLE[[#This Row],[Atividade]]=0, "-", BS_CONTROLE[[#This Row],[Atividade]])</f>
        <v>MODERNIZAÇÃO - SOLDA</v>
      </c>
      <c r="AJ384" s="9" t="str">
        <f>IF(BS_CONTROLE[[#This Row],[Atividade]]=0, "-", BS_CONTROLE[[#This Row],[Atividade]])</f>
        <v>MODERNIZAÇÃO - SOLDA</v>
      </c>
      <c r="AK384" s="31" t="str">
        <f>BS_CONTROLE[[#This Row],[Local - Partida]]</f>
        <v>-</v>
      </c>
      <c r="AL384" s="31" t="str">
        <f>BS_CONTROLE[[#This Row],[Local - Encerramento]]</f>
        <v>-</v>
      </c>
      <c r="AM384" s="105" t="str">
        <f>IF(BS_CONTROLE[[#This Row],[Entre - Estações]]=0, "-", BS_CONTROLE[[#This Row],[Entre - Estações]])</f>
        <v>ZEJ-ZEV</v>
      </c>
      <c r="AN384" s="105" t="str">
        <f>IF(BS_CONTROLE[[#This Row],[SB]]=0, "-", BS_CONTROLE[[#This Row],[SB]])</f>
        <v>148ZEJ2</v>
      </c>
      <c r="AO384" s="105">
        <f>IF(BS_CONTROLE[[#This Row],[SUB]]=0, "-", BS_CONTROLE[[#This Row],[SUB]])</f>
        <v>55</v>
      </c>
      <c r="AP384" s="105">
        <f>BS_CONTROLE[[#This Row],[KM - Inicio]]</f>
        <v>148</v>
      </c>
      <c r="AQ384" s="105">
        <f>BS_CONTROLE[[#This Row],[KM - Inicio]]</f>
        <v>148</v>
      </c>
      <c r="AR384" s="108">
        <v>0.41666666666666669</v>
      </c>
      <c r="AS384" s="108">
        <v>0</v>
      </c>
      <c r="AT384" s="108">
        <v>0</v>
      </c>
      <c r="AU384" s="136"/>
      <c r="AV384" s="136"/>
      <c r="AW384" s="14"/>
      <c r="AX384" s="14"/>
      <c r="AY384" s="164">
        <f>IF(D384="","*",IFERROR(IF(ISODD(COUNT(AS384:AX384)),"ERRO",SUM((AT384-AS384),(AV384-AU384),(AX384-AW384))),"ERRO"))</f>
        <v>0</v>
      </c>
      <c r="AZ384" s="153"/>
      <c r="BA384" s="109"/>
      <c r="BB384" s="10" t="str">
        <f>IFERROR(_xlfn.XLOOKUP(AI384, BS_ATIVIDADE[ATIVIDADE],BS_ATIVIDADE[UNIDADE] ), "*")</f>
        <v>Nº DE SOLDA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1</v>
      </c>
      <c r="BI384" s="17"/>
      <c r="BJ384" s="17" t="s">
        <v>1520</v>
      </c>
      <c r="BK384" s="18"/>
      <c r="BL384" s="16"/>
      <c r="BM384" s="130"/>
      <c r="BN384" s="130"/>
      <c r="BO384" s="130"/>
      <c r="BP384" s="18"/>
      <c r="BQ384" s="12" t="e">
        <f>IF(AND(BR384&lt;1,BS384&lt;1),"Produção e Intervalo",IF(BR384&lt;1,"Intervalo",IF(BS384&lt;1,"Produção","Aderente")))</f>
        <v>#DIV/0!</v>
      </c>
      <c r="BR384" s="19" t="e">
        <f>IF(OR(B384="",F384=""),"*",AY384/P384)</f>
        <v>#DIV/0!</v>
      </c>
      <c r="BS384" s="19">
        <f>IF(OR(B384="",F384=""),"*",BA384/Q384)</f>
        <v>0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>JACIANO (TF-674)46093</v>
      </c>
      <c r="B386" s="102">
        <v>46093</v>
      </c>
      <c r="C386" s="135">
        <f>IF(BS_CONTROLE[[#This Row],[DATA]]="","",WEEKNUM(BS_CONTROLE[[#This Row],[DATA]]))</f>
        <v>11</v>
      </c>
      <c r="D386" s="104" t="s">
        <v>858</v>
      </c>
      <c r="E386" s="159">
        <v>380</v>
      </c>
      <c r="F386" s="126" t="s">
        <v>744</v>
      </c>
      <c r="G386" s="142" t="str">
        <f>IF(D386="","*",VLOOKUP(F386,BS_ATIVIDADE[],3,FALSE))</f>
        <v>DORMENTE - SUBSTITUIÇÂO</v>
      </c>
      <c r="H386" s="106" t="s">
        <v>558</v>
      </c>
      <c r="I386" s="106" t="s">
        <v>558</v>
      </c>
      <c r="J386" s="105">
        <v>54</v>
      </c>
      <c r="K386" s="105">
        <v>72</v>
      </c>
      <c r="L386" s="105" t="s">
        <v>558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K73K721</v>
      </c>
      <c r="O386" s="106">
        <v>0.41666666666666669</v>
      </c>
      <c r="P386" s="106">
        <v>8.3333333333333329E-2</v>
      </c>
      <c r="Q386" s="105">
        <v>30</v>
      </c>
      <c r="R386" s="10" t="str">
        <f>IFERROR(_xlfn.XLOOKUP(F386, BS_ATIVIDADE[ATIVIDADE],BS_ATIVIDADE[UNIDADE] ), "*")</f>
        <v>Nº DE DORMENTES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6" s="105" t="s">
        <v>1029</v>
      </c>
      <c r="W386" s="151" t="s">
        <v>1092</v>
      </c>
      <c r="X386" s="104" t="s">
        <v>386</v>
      </c>
      <c r="Y386" s="129" t="s">
        <v>389</v>
      </c>
      <c r="Z386" s="104"/>
      <c r="AA386" s="183" t="s">
        <v>558</v>
      </c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PDM - SUBSTITUIÇÃO - DORMENTE</v>
      </c>
      <c r="AJ386" s="9" t="str">
        <f>IF(BS_CONTROLE[[#This Row],[Atividade]]=0, "-", BS_CONTROLE[[#This Row],[Atividade]])</f>
        <v>PDM - SUBSTITUIÇÃO - DORMENTE</v>
      </c>
      <c r="AK386" s="31" t="str">
        <f>BS_CONTROLE[[#This Row],[Local - Partida]]</f>
        <v>-</v>
      </c>
      <c r="AL386" s="31" t="str">
        <f>BS_CONTROLE[[#This Row],[Local - Encerramento]]</f>
        <v>-</v>
      </c>
      <c r="AM386" s="105" t="str">
        <f>IF(BS_CONTROLE[[#This Row],[Entre - Estações]]=0, "-", BS_CONTROLE[[#This Row],[Entre - Estações]])</f>
        <v>ZEZ-069</v>
      </c>
      <c r="AN386" s="105" t="str">
        <f>IF(BS_CONTROLE[[#This Row],[SB]]=0, "-", BS_CONTROLE[[#This Row],[SB]])</f>
        <v>K73K721</v>
      </c>
      <c r="AO386" s="105">
        <f>IF(BS_CONTROLE[[#This Row],[SUB]]=0, "-", BS_CONTROLE[[#This Row],[SUB]])</f>
        <v>54</v>
      </c>
      <c r="AP386" s="105">
        <f>BS_CONTROLE[[#This Row],[KM - Inicio]]</f>
        <v>72</v>
      </c>
      <c r="AQ386" s="105">
        <f>BS_CONTROLE[[#This Row],[KM - Inicio]]</f>
        <v>72</v>
      </c>
      <c r="AR386" s="108">
        <v>0.31180555555555556</v>
      </c>
      <c r="AS386" s="108"/>
      <c r="AT386" s="108"/>
      <c r="AU386" s="136"/>
      <c r="AV386" s="136"/>
      <c r="AW386" s="14"/>
      <c r="AX386" s="14"/>
      <c r="AY386" s="164">
        <f>IF(D386="","*",IFERROR(IF(ISODD(COUNT(AS386:AX386)),"ERRO",SUM((AT386-AS386),(AV386-AU386),(AX386-AW386))),"ERRO"))</f>
        <v>0</v>
      </c>
      <c r="AZ386" s="153"/>
      <c r="BA386" s="109"/>
      <c r="BB386" s="10" t="str">
        <f>IFERROR(_xlfn.XLOOKUP(AI386, BS_ATIVIDADE[ATIVIDADE],BS_ATIVIDADE[UNIDADE] ), "*")</f>
        <v>Nº DE DORMENTES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6" s="150"/>
      <c r="BG386" s="16"/>
      <c r="BH386" s="17"/>
      <c r="BI386" s="17"/>
      <c r="BJ386" s="17" t="s">
        <v>1525</v>
      </c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Produção e Intervalo</v>
      </c>
      <c r="BR386" s="19">
        <f>IF(OR(B386="",F386=""),"*",AY386/P386)</f>
        <v>0</v>
      </c>
      <c r="BS386" s="19">
        <f>IF(OR(B386="",F386=""),"*",BA386/Q386)</f>
        <v>0</v>
      </c>
      <c r="BT386" s="8" t="str">
        <f t="shared" si="8"/>
        <v/>
      </c>
    </row>
    <row r="387" spans="1:72" hidden="1">
      <c r="A387" s="47" t="str">
        <f>D387&amp;B387</f>
        <v>MODERNIZAÇÃO TURMA 246093</v>
      </c>
      <c r="B387" s="102">
        <v>46093</v>
      </c>
      <c r="C387" s="135">
        <f>IF(BS_CONTROLE[[#This Row],[DATA]]="","",WEEKNUM(BS_CONTROLE[[#This Row],[DATA]]))</f>
        <v>11</v>
      </c>
      <c r="D387" s="104" t="s">
        <v>596</v>
      </c>
      <c r="E387" s="159">
        <v>378</v>
      </c>
      <c r="F387" s="126" t="s">
        <v>691</v>
      </c>
      <c r="G387" s="142" t="str">
        <f>IF(D387="","*",VLOOKUP(F387,BS_ATIVIDADE[],3,FALSE))</f>
        <v>MODERNIZAÇÃO</v>
      </c>
      <c r="H387" s="106" t="s">
        <v>558</v>
      </c>
      <c r="I387" s="106" t="s">
        <v>558</v>
      </c>
      <c r="J387" s="105">
        <v>92</v>
      </c>
      <c r="K387" s="105">
        <v>79.67</v>
      </c>
      <c r="L387" s="105" t="s">
        <v>558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87" s="106">
        <v>0.34375</v>
      </c>
      <c r="P387" s="106">
        <v>6.25E-2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7" s="105" t="s">
        <v>1012</v>
      </c>
      <c r="W387" s="151" t="s">
        <v>1025</v>
      </c>
      <c r="X387" s="104" t="s">
        <v>386</v>
      </c>
      <c r="Y387" s="129" t="s">
        <v>389</v>
      </c>
      <c r="Z387" s="104"/>
      <c r="AA387" s="105" t="s">
        <v>558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MODERNIZAÇÃO - SOLDA</v>
      </c>
      <c r="AJ387" s="9" t="str">
        <f>IF(BS_CONTROLE[[#This Row],[Atividade]]=0, "-", BS_CONTROLE[[#This Row],[Atividade]])</f>
        <v>MODERNIZAÇÃO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ZXW-ZEZ</v>
      </c>
      <c r="AN387" s="105" t="str">
        <f>IF(BS_CONTROLE[[#This Row],[SB]]=0, "-", BS_CONTROLE[[#This Row],[SB]])</f>
        <v>ZXWK792</v>
      </c>
      <c r="AO387" s="105">
        <f>IF(BS_CONTROLE[[#This Row],[SUB]]=0, "-", BS_CONTROLE[[#This Row],[SUB]])</f>
        <v>92</v>
      </c>
      <c r="AP387" s="105">
        <f>BS_CONTROLE[[#This Row],[KM - Inicio]]</f>
        <v>79.67</v>
      </c>
      <c r="AQ387" s="105">
        <f>BS_CONTROLE[[#This Row],[KM - Inicio]]</f>
        <v>79.67</v>
      </c>
      <c r="AR387" s="108">
        <v>0</v>
      </c>
      <c r="AS387" s="108">
        <v>0</v>
      </c>
      <c r="AT387" s="108">
        <v>0</v>
      </c>
      <c r="AU387" s="136"/>
      <c r="AV387" s="136"/>
      <c r="AW387" s="14"/>
      <c r="AX387" s="14"/>
      <c r="AY387" s="164">
        <f>IF(D387="","*",IFERROR(IF(ISODD(COUNT(AS387:AX387)),"ERRO",SUM((AT387-AS387),(AV387-AU387),(AX387-AW387))),"ERRO"))</f>
        <v>0</v>
      </c>
      <c r="AZ387" s="153"/>
      <c r="BA387" s="109">
        <v>0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7" s="150"/>
      <c r="BG387" s="16"/>
      <c r="BH387" s="17">
        <v>0</v>
      </c>
      <c r="BI387" s="17"/>
      <c r="BJ387" s="17" t="s">
        <v>1368</v>
      </c>
      <c r="BK387" s="17" t="s">
        <v>1368</v>
      </c>
      <c r="BL387" s="16"/>
      <c r="BM387" s="130" t="s">
        <v>412</v>
      </c>
      <c r="BN387" s="130" t="s">
        <v>436</v>
      </c>
      <c r="BO387" s="130" t="s">
        <v>436</v>
      </c>
      <c r="BP387" s="17" t="s">
        <v>1368</v>
      </c>
      <c r="BQ387" s="12" t="str">
        <f>IF(AND(BR387&lt;1,BS387&lt;1),"Produção e Intervalo",IF(BR387&lt;1,"Intervalo",IF(BS387&lt;1,"Produção","Aderente")))</f>
        <v>Produção e Intervalo</v>
      </c>
      <c r="BR387" s="19">
        <f>IF(OR(B387="",F387=""),"*",AY387/P387)</f>
        <v>0</v>
      </c>
      <c r="BS387" s="19">
        <f>IF(OR(B387="",F387=""),"*",BA387/Q387)</f>
        <v>0</v>
      </c>
      <c r="BT387" s="8" t="str">
        <f t="shared" si="8"/>
        <v>CondiçõesClimáticaChuva</v>
      </c>
    </row>
    <row r="388" spans="1:72" hidden="1">
      <c r="A388" s="47" t="str">
        <f>D388&amp;B388</f>
        <v>CARLOS (TP-722)46093</v>
      </c>
      <c r="B388" s="102">
        <v>46093</v>
      </c>
      <c r="C388" s="135">
        <f>IF(BS_CONTROLE[[#This Row],[DATA]]="","",WEEKNUM(BS_CONTROLE[[#This Row],[DATA]]))</f>
        <v>11</v>
      </c>
      <c r="D388" s="104" t="s">
        <v>826</v>
      </c>
      <c r="E388" s="159">
        <v>382</v>
      </c>
      <c r="F388" s="126" t="s">
        <v>744</v>
      </c>
      <c r="G388" s="142" t="str">
        <f>IF(D388="","*",VLOOKUP(F388,BS_ATIVIDADE[],3,FALSE))</f>
        <v>DORMENTE - SUBSTITUIÇÂO</v>
      </c>
      <c r="H388" s="106" t="s">
        <v>558</v>
      </c>
      <c r="I388" s="106" t="s">
        <v>558</v>
      </c>
      <c r="J388" s="105">
        <v>92</v>
      </c>
      <c r="K388" s="105">
        <v>82</v>
      </c>
      <c r="L388" s="105" t="s">
        <v>558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88" s="106">
        <v>0.41666666666666669</v>
      </c>
      <c r="P388" s="106">
        <v>8.3333333333333329E-2</v>
      </c>
      <c r="Q388" s="105">
        <v>30</v>
      </c>
      <c r="R388" s="10" t="str">
        <f>IFERROR(_xlfn.XLOOKUP(F388, BS_ATIVIDADE[ATIVIDADE],BS_ATIVIDADE[UNIDADE] ), "*")</f>
        <v>Nº DE DORMENTES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8" s="105" t="s">
        <v>1029</v>
      </c>
      <c r="W388" s="151" t="s">
        <v>1092</v>
      </c>
      <c r="X388" s="104" t="s">
        <v>386</v>
      </c>
      <c r="Y388" s="129" t="s">
        <v>389</v>
      </c>
      <c r="Z388" s="104"/>
      <c r="AA388" s="183" t="s">
        <v>558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SUBSTITUIÇÃO - DORMENTE</v>
      </c>
      <c r="AJ388" s="9" t="str">
        <f>IF(BS_CONTROLE[[#This Row],[Atividade]]=0, "-", BS_CONTROLE[[#This Row],[Atividade]])</f>
        <v>PDM - SUBSTITUIÇÃO - DORMENTE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ZXW</v>
      </c>
      <c r="AN388" s="105" t="str">
        <f>IF(BS_CONTROLE[[#This Row],[SB]]=0, "-", BS_CONTROLE[[#This Row],[SB]])</f>
        <v>ZXW2</v>
      </c>
      <c r="AO388" s="105">
        <f>IF(BS_CONTROLE[[#This Row],[SUB]]=0, "-", BS_CONTROLE[[#This Row],[SUB]])</f>
        <v>92</v>
      </c>
      <c r="AP388" s="105">
        <f>BS_CONTROLE[[#This Row],[KM - Inicio]]</f>
        <v>82</v>
      </c>
      <c r="AQ388" s="105">
        <f>BS_CONTROLE[[#This Row],[KM - Inicio]]</f>
        <v>82</v>
      </c>
      <c r="AR388" s="108">
        <v>0.38680555555555557</v>
      </c>
      <c r="AS388" s="108"/>
      <c r="AT388" s="108"/>
      <c r="AU388" s="136"/>
      <c r="AV388" s="136"/>
      <c r="AW388" s="14"/>
      <c r="AX388" s="14"/>
      <c r="AY388" s="164">
        <f>IF(D388="","*",IFERROR(IF(ISODD(COUNT(AS388:AX388)),"ERRO",SUM((AT388-AS388),(AV388-AU388),(AX388-AW388))),"ERRO"))</f>
        <v>0</v>
      </c>
      <c r="AZ388" s="153"/>
      <c r="BA388" s="109"/>
      <c r="BB388" s="10" t="str">
        <f>IFERROR(_xlfn.XLOOKUP(AI388, BS_ATIVIDADE[ATIVIDADE],BS_ATIVIDADE[UNIDADE] ), "*")</f>
        <v>Nº DE DORMENTES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8" s="150"/>
      <c r="BG388" s="16"/>
      <c r="BH388" s="17"/>
      <c r="BI388" s="17"/>
      <c r="BJ388" s="17" t="s">
        <v>1526</v>
      </c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Produção e Intervalo</v>
      </c>
      <c r="BR388" s="19">
        <f>IF(OR(B388="",F388=""),"*",AY388/P388)</f>
        <v>0</v>
      </c>
      <c r="BS388" s="19">
        <f>IF(OR(B388="",F388=""),"*",BA388/Q388)</f>
        <v>0</v>
      </c>
      <c r="BT388" s="8" t="str">
        <f t="shared" si="8"/>
        <v/>
      </c>
    </row>
    <row r="389" spans="1:72" hidden="1">
      <c r="A389" s="47" t="str">
        <f>D389&amp;B389</f>
        <v>RAFAEL (TP-695)46093</v>
      </c>
      <c r="B389" s="102">
        <v>46093</v>
      </c>
      <c r="C389" s="135">
        <f>IF(BS_CONTROLE[[#This Row],[DATA]]="","",WEEKNUM(BS_CONTROLE[[#This Row],[DATA]]))</f>
        <v>11</v>
      </c>
      <c r="D389" s="104" t="s">
        <v>892</v>
      </c>
      <c r="E389" s="159">
        <v>383</v>
      </c>
      <c r="F389" s="126" t="s">
        <v>714</v>
      </c>
      <c r="G389" s="142" t="str">
        <f>IF(D389="","*",VLOOKUP(F389,BS_ATIVIDADE[],3,FALSE))</f>
        <v>AMV</v>
      </c>
      <c r="H389" s="106" t="s">
        <v>558</v>
      </c>
      <c r="I389" s="106"/>
      <c r="J389" s="105">
        <v>92</v>
      </c>
      <c r="K389" s="105">
        <v>101.95</v>
      </c>
      <c r="L389" s="105" t="s">
        <v>558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89" s="106">
        <v>0.375</v>
      </c>
      <c r="P389" s="106">
        <v>0.125</v>
      </c>
      <c r="Q389" s="105">
        <v>2</v>
      </c>
      <c r="R389" s="10" t="str">
        <f>IFERROR(_xlfn.XLOOKUP(F389, BS_ATIVIDADE[ATIVIDADE],BS_ATIVIDADE[UNIDADE] ), "*")</f>
        <v>Nº DE PEÇAS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9" s="105" t="s">
        <v>1029</v>
      </c>
      <c r="W389" s="151" t="s">
        <v>1088</v>
      </c>
      <c r="X389" s="104" t="s">
        <v>386</v>
      </c>
      <c r="Y389" s="129" t="s">
        <v>389</v>
      </c>
      <c r="Z389" s="104"/>
      <c r="AA389" s="105" t="s">
        <v>558</v>
      </c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AMV - JACARÉ</v>
      </c>
      <c r="AJ389" s="9" t="str">
        <f>IF(BS_CONTROLE[[#This Row],[Atividade]]=0, "-", BS_CONTROLE[[#This Row],[Atividade]])</f>
        <v>PDM - AMV - JACARÉ</v>
      </c>
      <c r="AK389" s="31" t="str">
        <f>BS_CONTROLE[[#This Row],[Local - Partida]]</f>
        <v>-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ZGP</v>
      </c>
      <c r="AN389" s="105" t="str">
        <f>IF(BS_CONTROLE[[#This Row],[SB]]=0, "-", BS_CONTROLE[[#This Row],[SB]])</f>
        <v>ZGP2</v>
      </c>
      <c r="AO389" s="105">
        <f>IF(BS_CONTROLE[[#This Row],[SUB]]=0, "-", BS_CONTROLE[[#This Row],[SUB]])</f>
        <v>92</v>
      </c>
      <c r="AP389" s="105">
        <f>BS_CONTROLE[[#This Row],[KM - Inicio]]</f>
        <v>101.95</v>
      </c>
      <c r="AQ389" s="105">
        <f>BS_CONTROLE[[#This Row],[KM - Inicio]]</f>
        <v>101.95</v>
      </c>
      <c r="AR389" s="108"/>
      <c r="AS389" s="108"/>
      <c r="AT389" s="108"/>
      <c r="AU389" s="136"/>
      <c r="AV389" s="136"/>
      <c r="AW389" s="14"/>
      <c r="AX389" s="14"/>
      <c r="AY389" s="164">
        <f>IF(D389="","*",IFERROR(IF(ISODD(COUNT(AS389:AX389)),"ERRO",SUM((AT389-AS389),(AV389-AU389),(AX389-AW389))),"ERRO"))</f>
        <v>0</v>
      </c>
      <c r="AZ389" s="153"/>
      <c r="BA389" s="109"/>
      <c r="BB389" s="10" t="str">
        <f>IFERROR(_xlfn.XLOOKUP(AI389, BS_ATIVIDADE[ATIVIDADE],BS_ATIVIDADE[UNIDADE] ), "*")</f>
        <v>Nº DE PEÇAS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9" s="150"/>
      <c r="BG389" s="16"/>
      <c r="BH389" s="17"/>
      <c r="BI389" s="17"/>
      <c r="BJ389" s="17" t="s">
        <v>1321</v>
      </c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Produção e Intervalo</v>
      </c>
      <c r="BR389" s="19">
        <f>IF(OR(B389="",F389=""),"*",AY389/P389)</f>
        <v>0</v>
      </c>
      <c r="BS389" s="19">
        <f>IF(OR(B389="",F389=""),"*",BA389/Q389)</f>
        <v>0</v>
      </c>
      <c r="BT389" s="8" t="str">
        <f t="shared" si="8"/>
        <v/>
      </c>
    </row>
    <row r="390" spans="1:72" hidden="1">
      <c r="A390" s="47" t="str">
        <f>D390&amp;B390</f>
        <v>MOD ZGP46093</v>
      </c>
      <c r="B390" s="102">
        <v>46093</v>
      </c>
      <c r="C390" s="135">
        <f>IF(BS_CONTROLE[[#This Row],[DATA]]="","",WEEKNUM(BS_CONTROLE[[#This Row],[DATA]]))</f>
        <v>11</v>
      </c>
      <c r="D390" s="104" t="s">
        <v>915</v>
      </c>
      <c r="E390" s="159">
        <v>46</v>
      </c>
      <c r="F390" s="126" t="s">
        <v>548</v>
      </c>
      <c r="G390" s="142" t="str">
        <f>IF(D390="","*",VLOOKUP(F390,BS_ATIVIDADE[],3,FALSE))</f>
        <v>OUTROS</v>
      </c>
      <c r="H390" s="106" t="s">
        <v>558</v>
      </c>
      <c r="I390" s="106" t="s">
        <v>558</v>
      </c>
      <c r="J390" s="105">
        <v>92</v>
      </c>
      <c r="K390" s="105">
        <v>102</v>
      </c>
      <c r="L390" s="105">
        <v>106.3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0" s="106">
        <v>0.33333333333333331</v>
      </c>
      <c r="P390" s="106">
        <v>0.22916666666666666</v>
      </c>
      <c r="Q390" s="105">
        <v>1</v>
      </c>
      <c r="R390" s="10" t="str">
        <f>IFERROR(_xlfn.XLOOKUP(F390, BS_ATIVIDADE[ATIVIDADE],BS_ATIVIDADE[UNIDADE] ), "*")</f>
        <v>BINÁRIO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0" s="105" t="s">
        <v>1012</v>
      </c>
      <c r="W390" s="151" t="s">
        <v>1527</v>
      </c>
      <c r="X390" s="104" t="s">
        <v>386</v>
      </c>
      <c r="Y390" s="129" t="s">
        <v>389</v>
      </c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BLOCO</v>
      </c>
      <c r="AJ390" s="9" t="str">
        <f>IF(BS_CONTROLE[[#This Row],[Atividade]]=0, "-", BS_CONTROLE[[#This Row],[Atividade]])</f>
        <v>BLOCO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ZGP</v>
      </c>
      <c r="AN390" s="105" t="str">
        <f>IF(BS_CONTROLE[[#This Row],[SB]]=0, "-", BS_CONTROLE[[#This Row],[SB]])</f>
        <v>ZGP2</v>
      </c>
      <c r="AO390" s="105">
        <f>IF(BS_CONTROLE[[#This Row],[SUB]]=0, "-", BS_CONTROLE[[#This Row],[SUB]])</f>
        <v>92</v>
      </c>
      <c r="AP390" s="105">
        <f>BS_CONTROLE[[#This Row],[KM - Inicio]]</f>
        <v>102</v>
      </c>
      <c r="AQ390" s="105">
        <f>BS_CONTROLE[[#This Row],[KM - Inicio]]</f>
        <v>102</v>
      </c>
      <c r="AR390" s="108"/>
      <c r="AS390" s="108"/>
      <c r="AT390" s="108"/>
      <c r="AU390" s="136"/>
      <c r="AV390" s="136"/>
      <c r="AW390" s="14"/>
      <c r="AX390" s="14"/>
      <c r="AY390" s="164">
        <f>IF(D390="","*",IFERROR(IF(ISODD(COUNT(AS390:AX390)),"ERRO",SUM((AT390-AS390),(AV390-AU390),(AX390-AW390))),"ERRO"))</f>
        <v>0</v>
      </c>
      <c r="AZ390" s="153"/>
      <c r="BA390" s="109"/>
      <c r="BB390" s="10" t="str">
        <f>IFERROR(_xlfn.XLOOKUP(AI390, BS_ATIVIDADE[ATIVIDADE],BS_ATIVIDADE[UNIDADE] ), "*")</f>
        <v>BINÁRIO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0" s="150"/>
      <c r="BG390" s="16"/>
      <c r="BH390" s="17"/>
      <c r="BI390" s="17"/>
      <c r="BJ390" s="17" t="s">
        <v>1528</v>
      </c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Produção e Intervalo</v>
      </c>
      <c r="BR390" s="19">
        <f>IF(OR(B390="",F390=""),"*",AY390/P390)</f>
        <v>0</v>
      </c>
      <c r="BS390" s="19">
        <f>IF(OR(B390="",F390=""),"*",BA390/Q390)</f>
        <v>0</v>
      </c>
      <c r="BT390" s="8" t="str">
        <f t="shared" si="8"/>
        <v/>
      </c>
    </row>
    <row r="391" spans="1:72" hidden="1">
      <c r="A391" s="47" t="str">
        <f>D391&amp;B391</f>
        <v>V8546093</v>
      </c>
      <c r="B391" s="102">
        <v>46093</v>
      </c>
      <c r="C391" s="135">
        <f>IF(BS_CONTROLE[[#This Row],[DATA]]="","",WEEKNUM(BS_CONTROLE[[#This Row],[DATA]]))</f>
        <v>11</v>
      </c>
      <c r="D391" s="104" t="s">
        <v>759</v>
      </c>
      <c r="E391" s="159">
        <v>318</v>
      </c>
      <c r="F391" s="126" t="s">
        <v>663</v>
      </c>
      <c r="G391" s="142" t="str">
        <f>IF(D391="","*",VLOOKUP(F391,BS_ATIVIDADE[],3,FALSE))</f>
        <v>MECANIZAÇÃO - SOCADORA</v>
      </c>
      <c r="H391" s="106" t="s">
        <v>1225</v>
      </c>
      <c r="I391" s="106" t="s">
        <v>1225</v>
      </c>
      <c r="J391" s="105">
        <v>92</v>
      </c>
      <c r="K391" s="105">
        <v>102.1</v>
      </c>
      <c r="L391" s="105">
        <v>103.54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1" s="106">
        <v>0.32291666666666669</v>
      </c>
      <c r="P391" s="106">
        <v>0</v>
      </c>
      <c r="Q391" s="105">
        <v>1310</v>
      </c>
      <c r="R391" s="10" t="str">
        <f>IFERROR(_xlfn.XLOOKUP(F391, BS_ATIVIDADE[ATIVIDADE],BS_ATIVIDADE[UNIDADE] ), "*")</f>
        <v>M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1" s="105" t="s">
        <v>1012</v>
      </c>
      <c r="W391" s="151" t="s">
        <v>1317</v>
      </c>
      <c r="X391" s="104" t="s">
        <v>386</v>
      </c>
      <c r="Y391" s="129" t="s">
        <v>389</v>
      </c>
      <c r="Z391" s="104"/>
      <c r="AA391" s="105">
        <v>1</v>
      </c>
      <c r="AB391" s="103" t="s">
        <v>377</v>
      </c>
      <c r="AC391" s="152" t="s">
        <v>371</v>
      </c>
      <c r="AD391" s="107">
        <v>0.3125</v>
      </c>
      <c r="AE391" s="105">
        <v>2235</v>
      </c>
      <c r="AF391" s="105" t="s">
        <v>558</v>
      </c>
      <c r="AG391" s="105"/>
      <c r="AH391" s="15"/>
      <c r="AI391" s="126" t="str">
        <f>IF(BS_CONTROLE[[#This Row],[Atividade]]=0, "-", BS_CONTROLE[[#This Row],[Atividade]])</f>
        <v>MECANIZAÇÃO - SOCADORA</v>
      </c>
      <c r="AJ391" s="9" t="str">
        <f>IF(BS_CONTROLE[[#This Row],[Atividade]]=0, "-", BS_CONTROLE[[#This Row],[Atividade]])</f>
        <v>MECANIZAÇÃO - SOCADORA</v>
      </c>
      <c r="AK391" s="31" t="str">
        <f>BS_CONTROLE[[#This Row],[Local - Partida]]</f>
        <v>ZDRZPT</v>
      </c>
      <c r="AL391" s="31" t="str">
        <f>BS_CONTROLE[[#This Row],[Local - Encerramento]]</f>
        <v>ZDRZPT</v>
      </c>
      <c r="AM391" s="105" t="str">
        <f>IF(BS_CONTROLE[[#This Row],[Entre - Estações]]=0, "-", BS_CONTROLE[[#This Row],[Entre - Estações]])</f>
        <v>ZGP</v>
      </c>
      <c r="AN391" s="105" t="str">
        <f>IF(BS_CONTROLE[[#This Row],[SB]]=0, "-", BS_CONTROLE[[#This Row],[SB]])</f>
        <v>ZGP2</v>
      </c>
      <c r="AO391" s="105">
        <f>IF(BS_CONTROLE[[#This Row],[SUB]]=0, "-", BS_CONTROLE[[#This Row],[SUB]])</f>
        <v>92</v>
      </c>
      <c r="AP391" s="105">
        <f>BS_CONTROLE[[#This Row],[KM - Inicio]]</f>
        <v>102.1</v>
      </c>
      <c r="AQ391" s="105">
        <f>BS_CONTROLE[[#This Row],[KM - Inicio]]</f>
        <v>102.1</v>
      </c>
      <c r="AR391" s="108"/>
      <c r="AS391" s="108"/>
      <c r="AT391" s="108"/>
      <c r="AU391" s="136"/>
      <c r="AV391" s="136"/>
      <c r="AW391" s="14"/>
      <c r="AX391" s="14"/>
      <c r="AY391" s="164">
        <f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M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1" s="150"/>
      <c r="BG391" s="16"/>
      <c r="BH391" s="17"/>
      <c r="BI391" s="17"/>
      <c r="BJ391" s="17" t="s">
        <v>1529</v>
      </c>
      <c r="BK391" s="18"/>
      <c r="BL391" s="16"/>
      <c r="BM391" s="130"/>
      <c r="BN391" s="130"/>
      <c r="BO391" s="130"/>
      <c r="BP391" s="18"/>
      <c r="BQ391" s="12" t="e">
        <f>IF(AND(BR391&lt;1,BS391&lt;1),"Produção e Intervalo",IF(BR391&lt;1,"Intervalo",IF(BS391&lt;1,"Produção","Aderente")))</f>
        <v>#DIV/0!</v>
      </c>
      <c r="BR391" s="19" t="e">
        <f>IF(OR(B391="",F391=""),"*",AY391/P391)</f>
        <v>#DIV/0!</v>
      </c>
      <c r="BS391" s="19">
        <f>IF(OR(B391="",F391=""),"*",BA391/Q391)</f>
        <v>0</v>
      </c>
      <c r="BT391" s="8" t="str">
        <f t="shared" si="8"/>
        <v/>
      </c>
    </row>
    <row r="392" spans="1:72" hidden="1">
      <c r="A392" s="47" t="str">
        <f>D392&amp;B392</f>
        <v>W6246093</v>
      </c>
      <c r="B392" s="102">
        <v>46093</v>
      </c>
      <c r="C392" s="135">
        <f>IF(BS_CONTROLE[[#This Row],[DATA]]="","",WEEKNUM(BS_CONTROLE[[#This Row],[DATA]]))</f>
        <v>11</v>
      </c>
      <c r="D392" s="104" t="s">
        <v>793</v>
      </c>
      <c r="E392" s="159">
        <v>318</v>
      </c>
      <c r="F392" s="126" t="s">
        <v>687</v>
      </c>
      <c r="G392" s="142" t="str">
        <f>IF(D392="","*",VLOOKUP(F392,BS_ATIVIDADE[],3,FALSE))</f>
        <v>MODERNIZAÇÃO</v>
      </c>
      <c r="H392" s="106" t="s">
        <v>1225</v>
      </c>
      <c r="I392" s="106" t="s">
        <v>1225</v>
      </c>
      <c r="J392" s="105">
        <v>92</v>
      </c>
      <c r="K392" s="105">
        <v>103.07</v>
      </c>
      <c r="L392" s="105">
        <v>104.8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2" s="106">
        <v>0.32291666666666669</v>
      </c>
      <c r="P392" s="106">
        <v>0</v>
      </c>
      <c r="Q392" s="105">
        <v>2</v>
      </c>
      <c r="R392" s="10" t="str">
        <f>IFERROR(_xlfn.XLOOKUP(F392, BS_ATIVIDADE[ATIVIDADE],BS_ATIVIDADE[UNIDADE] ), "*")</f>
        <v>VAGÕES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1012</v>
      </c>
      <c r="W392" s="151" t="s">
        <v>1530</v>
      </c>
      <c r="X392" s="104" t="s">
        <v>386</v>
      </c>
      <c r="Y392" s="129" t="s">
        <v>389</v>
      </c>
      <c r="Z392" s="104"/>
      <c r="AA392" s="105">
        <v>1</v>
      </c>
      <c r="AB392" s="103" t="s">
        <v>377</v>
      </c>
      <c r="AC392" s="152" t="s">
        <v>371</v>
      </c>
      <c r="AD392" s="107">
        <v>0.3125</v>
      </c>
      <c r="AE392" s="105">
        <v>9049</v>
      </c>
      <c r="AF392" s="105" t="s">
        <v>558</v>
      </c>
      <c r="AG392" s="105"/>
      <c r="AH392" s="15"/>
      <c r="AI392" s="126" t="str">
        <f>IF(BS_CONTROLE[[#This Row],[Atividade]]=0, "-", BS_CONTROLE[[#This Row],[Atividade]])</f>
        <v>MODERNIZAÇÃO - PEDRA - DESCARGA</v>
      </c>
      <c r="AJ392" s="9" t="str">
        <f>IF(BS_CONTROLE[[#This Row],[Atividade]]=0, "-", BS_CONTROLE[[#This Row],[Atividade]])</f>
        <v>MODERNIZAÇÃO - PEDRA - DESCARGA</v>
      </c>
      <c r="AK392" s="31" t="str">
        <f>BS_CONTROLE[[#This Row],[Local - Partida]]</f>
        <v>ZDRZPT</v>
      </c>
      <c r="AL392" s="31" t="str">
        <f>BS_CONTROLE[[#This Row],[Local - Encerramento]]</f>
        <v>ZDRZPT</v>
      </c>
      <c r="AM392" s="105" t="str">
        <f>IF(BS_CONTROLE[[#This Row],[Entre - Estações]]=0, "-", BS_CONTROLE[[#This Row],[Entre - Estações]])</f>
        <v>ZGP</v>
      </c>
      <c r="AN392" s="105" t="str">
        <f>IF(BS_CONTROLE[[#This Row],[SB]]=0, "-", BS_CONTROLE[[#This Row],[SB]])</f>
        <v>ZGP2</v>
      </c>
      <c r="AO392" s="105">
        <f>IF(BS_CONTROLE[[#This Row],[SUB]]=0, "-", BS_CONTROLE[[#This Row],[SUB]])</f>
        <v>92</v>
      </c>
      <c r="AP392" s="105">
        <f>BS_CONTROLE[[#This Row],[KM - Inicio]]</f>
        <v>103.07</v>
      </c>
      <c r="AQ392" s="105">
        <f>BS_CONTROLE[[#This Row],[KM - Inicio]]</f>
        <v>103.07</v>
      </c>
      <c r="AR392" s="108"/>
      <c r="AS392" s="108"/>
      <c r="AT392" s="108"/>
      <c r="AU392" s="136"/>
      <c r="AV392" s="136"/>
      <c r="AW392" s="14"/>
      <c r="AX392" s="14"/>
      <c r="AY392" s="164">
        <f>IF(D392="","*",IFERROR(IF(ISODD(COUNT(AS392:AX392)),"ERRO",SUM((AT392-AS392),(AV392-AU392),(AX392-AW392))),"ERRO"))</f>
        <v>0</v>
      </c>
      <c r="AZ392" s="153"/>
      <c r="BA392" s="109"/>
      <c r="BB392" s="10" t="str">
        <f>IFERROR(_xlfn.XLOOKUP(AI392, BS_ATIVIDADE[ATIVIDADE],BS_ATIVIDADE[UNIDADE] ), "*")</f>
        <v>VAGÕES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 t="s">
        <v>1529</v>
      </c>
      <c r="BK392" s="18"/>
      <c r="BL392" s="16"/>
      <c r="BM392" s="130"/>
      <c r="BN392" s="130"/>
      <c r="BO392" s="130"/>
      <c r="BP392" s="18"/>
      <c r="BQ392" s="12" t="e">
        <f>IF(AND(BR392&lt;1,BS392&lt;1),"Produção e Intervalo",IF(BR392&lt;1,"Intervalo",IF(BS392&lt;1,"Produção","Aderente")))</f>
        <v>#DIV/0!</v>
      </c>
      <c r="BR392" s="19" t="e">
        <f>IF(OR(B392="",F392=""),"*",AY392/P392)</f>
        <v>#DIV/0!</v>
      </c>
      <c r="BS392" s="19">
        <f>IF(OR(B392="",F392=""),"*",BA392/Q392)</f>
        <v>0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>HUELTON (TP-725)46093</v>
      </c>
      <c r="B393" s="102">
        <v>46093</v>
      </c>
      <c r="C393" s="135">
        <f>IF(BS_CONTROLE[[#This Row],[DATA]]="","",WEEKNUM(BS_CONTROLE[[#This Row],[DATA]]))</f>
        <v>11</v>
      </c>
      <c r="D393" s="104" t="s">
        <v>854</v>
      </c>
      <c r="E393" s="159">
        <v>387</v>
      </c>
      <c r="F393" s="126" t="s">
        <v>740</v>
      </c>
      <c r="G393" s="142" t="str">
        <f>IF(D393="","*",VLOOKUP(F393,BS_ATIVIDADE[],3,FALSE))</f>
        <v>SOLDA</v>
      </c>
      <c r="H393" s="106" t="s">
        <v>558</v>
      </c>
      <c r="I393" s="106"/>
      <c r="J393" s="105">
        <v>92</v>
      </c>
      <c r="K393" s="105">
        <v>106.8</v>
      </c>
      <c r="L393" s="105" t="s">
        <v>558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93" s="127" t="s">
        <v>367</v>
      </c>
      <c r="O393" s="106">
        <v>0.375</v>
      </c>
      <c r="P393" s="106">
        <v>0.125</v>
      </c>
      <c r="Q393" s="105">
        <v>2</v>
      </c>
      <c r="R393" s="10" t="str">
        <f>IFERROR(_xlfn.XLOOKUP(F393, BS_ATIVIDADE[ATIVIDADE],BS_ATIVIDADE[UNIDADE] ), "*")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1029</v>
      </c>
      <c r="W393" s="151" t="s">
        <v>1025</v>
      </c>
      <c r="X393" s="104" t="s">
        <v>386</v>
      </c>
      <c r="Y393" s="129" t="s">
        <v>389</v>
      </c>
      <c r="Z393" s="104"/>
      <c r="AA393" s="105" t="s">
        <v>558</v>
      </c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PDM - SOLDA</v>
      </c>
      <c r="AJ393" s="9" t="str">
        <f>IF(BS_CONTROLE[[#This Row],[Atividade]]=0, "-", BS_CONTROLE[[#This Row],[Atividade]])</f>
        <v>PDM - SOLDA</v>
      </c>
      <c r="AK393" s="31" t="str">
        <f>BS_CONTROLE[[#This Row],[Local - Partida]]</f>
        <v>-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ZPT</v>
      </c>
      <c r="AN393" s="105" t="str">
        <f>IF(BS_CONTROLE[[#This Row],[SB]]=0, "-", BS_CONTROLE[[#This Row],[SB]])</f>
        <v>ZPT2</v>
      </c>
      <c r="AO393" s="105">
        <f>IF(BS_CONTROLE[[#This Row],[SUB]]=0, "-", BS_CONTROLE[[#This Row],[SUB]])</f>
        <v>92</v>
      </c>
      <c r="AP393" s="105">
        <f>BS_CONTROLE[[#This Row],[KM - Inicio]]</f>
        <v>106.8</v>
      </c>
      <c r="AQ393" s="105">
        <f>BS_CONTROLE[[#This Row],[KM - Inicio]]</f>
        <v>106.8</v>
      </c>
      <c r="AR393" s="108">
        <v>0</v>
      </c>
      <c r="AS393" s="108">
        <v>0</v>
      </c>
      <c r="AT393" s="108">
        <v>0</v>
      </c>
      <c r="AU393" s="136"/>
      <c r="AV393" s="136"/>
      <c r="AW393" s="14"/>
      <c r="AX393" s="14"/>
      <c r="AY393" s="164">
        <f>IF(D393="","*",IFERROR(IF(ISODD(COUNT(AS393:AX393)),"ERRO",SUM((AT393-AS393),(AV393-AU393),(AX393-AW393))),"ERRO"))</f>
        <v>0</v>
      </c>
      <c r="AZ393" s="153"/>
      <c r="BA393" s="109">
        <v>0</v>
      </c>
      <c r="BB393" s="10" t="str">
        <f>IFERROR(_xlfn.XLOOKUP(AI393, BS_ATIVIDADE[ATIVIDADE],BS_ATIVIDADE[UNIDADE] ), "*")</f>
        <v>Nº DE SOLDA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0</v>
      </c>
      <c r="BI393" s="17"/>
      <c r="BJ393" s="17" t="s">
        <v>1368</v>
      </c>
      <c r="BK393" s="17" t="s">
        <v>1368</v>
      </c>
      <c r="BL393" s="16"/>
      <c r="BM393" s="130" t="s">
        <v>412</v>
      </c>
      <c r="BN393" s="130" t="s">
        <v>436</v>
      </c>
      <c r="BO393" s="130" t="s">
        <v>436</v>
      </c>
      <c r="BP393" s="17" t="s">
        <v>1368</v>
      </c>
      <c r="BQ393" s="12" t="str">
        <f>IF(AND(BR393&lt;1,BS393&lt;1),"Produção e Intervalo",IF(BR393&lt;1,"Intervalo",IF(BS393&lt;1,"Produção","Aderente")))</f>
        <v>Produção e Intervalo</v>
      </c>
      <c r="BR393" s="19">
        <f>IF(OR(B393="",F393=""),"*",AY393/P393)</f>
        <v>0</v>
      </c>
      <c r="BS393" s="19">
        <f>IF(OR(B393="",F393=""),"*",BA393/Q393)</f>
        <v>0</v>
      </c>
      <c r="BT393" s="8" t="str">
        <f t="shared" si="9"/>
        <v>CondiçõesClimáticaChuva</v>
      </c>
    </row>
    <row r="394" spans="1:72" hidden="1">
      <c r="A394" s="47" t="str">
        <f>D394&amp;B394</f>
        <v>EXPANSÃO TURMA 146093</v>
      </c>
      <c r="B394" s="102">
        <v>46093</v>
      </c>
      <c r="C394" s="135">
        <f>IF(BS_CONTROLE[[#This Row],[DATA]]="","",WEEKNUM(BS_CONTROLE[[#This Row],[DATA]]))</f>
        <v>11</v>
      </c>
      <c r="D394" s="104" t="s">
        <v>559</v>
      </c>
      <c r="E394" s="159">
        <v>285</v>
      </c>
      <c r="F394" s="126" t="s">
        <v>619</v>
      </c>
      <c r="G394" s="142" t="str">
        <f>IF(D394="","*",VLOOKUP(F394,BS_ATIVIDADE[],3,FALSE))</f>
        <v>EXPANSÃO</v>
      </c>
      <c r="H394" s="106" t="s">
        <v>558</v>
      </c>
      <c r="I394" s="106" t="s">
        <v>558</v>
      </c>
      <c r="J394" s="105">
        <v>30</v>
      </c>
      <c r="K394" s="105">
        <v>111.5</v>
      </c>
      <c r="L394" s="105">
        <v>112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4" s="127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94" s="106">
        <v>0.41666666666666669</v>
      </c>
      <c r="P394" s="106">
        <v>6.25E-2</v>
      </c>
      <c r="Q394" s="105">
        <v>1</v>
      </c>
      <c r="R394" s="10" t="str">
        <f>IFERROR(_xlfn.XLOOKUP(F394, BS_ATIVIDADE[ATIVIDADE],BS_ATIVIDADE[UNIDADE] ), "*")</f>
        <v>Nº DE SOLDA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4" s="105" t="s">
        <v>1047</v>
      </c>
      <c r="W394" s="151" t="s">
        <v>1025</v>
      </c>
      <c r="X394" s="104" t="s">
        <v>386</v>
      </c>
      <c r="Y394" s="129" t="s">
        <v>389</v>
      </c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EXPANSÃO - SOLDA</v>
      </c>
      <c r="AJ394" s="9" t="str">
        <f>IF(BS_CONTROLE[[#This Row],[Atividade]]=0, "-", BS_CONTROLE[[#This Row],[Atividade]])</f>
        <v>EXPANSÃO - SOLDA</v>
      </c>
      <c r="AK394" s="31" t="str">
        <f>BS_CONTROLE[[#This Row],[Local - Partida]]</f>
        <v>-</v>
      </c>
      <c r="AL394" s="31" t="str">
        <f>BS_CONTROLE[[#This Row],[Local - Encerramento]]</f>
        <v>-</v>
      </c>
      <c r="AM394" s="105" t="str">
        <f>IF(BS_CONTROLE[[#This Row],[Entre - Estações]]=0, "-", BS_CONTROLE[[#This Row],[Entre - Estações]])</f>
        <v>ZGM-109</v>
      </c>
      <c r="AN394" s="105">
        <f>IF(BS_CONTROLE[[#This Row],[SB]]=0, "-", BS_CONTROLE[[#This Row],[SB]])</f>
        <v>1121111</v>
      </c>
      <c r="AO394" s="105">
        <f>IF(BS_CONTROLE[[#This Row],[SUB]]=0, "-", BS_CONTROLE[[#This Row],[SUB]])</f>
        <v>30</v>
      </c>
      <c r="AP394" s="105">
        <f>BS_CONTROLE[[#This Row],[KM - Inicio]]</f>
        <v>111.5</v>
      </c>
      <c r="AQ394" s="105">
        <f>BS_CONTROLE[[#This Row],[KM - Inicio]]</f>
        <v>111.5</v>
      </c>
      <c r="AR394" s="108">
        <v>0</v>
      </c>
      <c r="AS394" s="108">
        <v>0</v>
      </c>
      <c r="AT394" s="108">
        <v>0</v>
      </c>
      <c r="AU394" s="136"/>
      <c r="AV394" s="136"/>
      <c r="AW394" s="14"/>
      <c r="AX394" s="14"/>
      <c r="AY394" s="164">
        <f>IF(D394="","*",IFERROR(IF(ISODD(COUNT(AS394:AX394)),"ERRO",SUM((AT394-AS394),(AV394-AU394),(AX394-AW394))),"ERRO"))</f>
        <v>0</v>
      </c>
      <c r="AZ394" s="153"/>
      <c r="BA394" s="109">
        <v>0</v>
      </c>
      <c r="BB394" s="10" t="str">
        <f>IFERROR(_xlfn.XLOOKUP(AI394, BS_ATIVIDADE[ATIVIDADE],BS_ATIVIDADE[UNIDADE] ), "*")</f>
        <v>Nº DE SOLDA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4" s="150"/>
      <c r="BG394" s="16"/>
      <c r="BH394" s="17">
        <v>0</v>
      </c>
      <c r="BI394" s="17"/>
      <c r="BJ394" s="17" t="s">
        <v>1368</v>
      </c>
      <c r="BK394" s="17" t="s">
        <v>1368</v>
      </c>
      <c r="BL394" s="16"/>
      <c r="BM394" s="130" t="s">
        <v>412</v>
      </c>
      <c r="BN394" s="130" t="s">
        <v>436</v>
      </c>
      <c r="BO394" s="130" t="s">
        <v>436</v>
      </c>
      <c r="BP394" s="17" t="s">
        <v>1368</v>
      </c>
      <c r="BQ394" s="12" t="str">
        <f>IF(AND(BR394&lt;1,BS394&lt;1),"Produção e Intervalo",IF(BR394&lt;1,"Intervalo",IF(BS394&lt;1,"Produção","Aderente")))</f>
        <v>Produção e Intervalo</v>
      </c>
      <c r="BR394" s="19">
        <f>IF(OR(B394="",F394=""),"*",AY394/P394)</f>
        <v>0</v>
      </c>
      <c r="BS394" s="19">
        <f>IF(OR(B394="",F394=""),"*",BA394/Q394)</f>
        <v>0</v>
      </c>
      <c r="BT394" s="8" t="str">
        <f t="shared" si="9"/>
        <v>CondiçõesClimáticaChuva</v>
      </c>
    </row>
    <row r="395" spans="1:72" hidden="1">
      <c r="A395" s="47" t="str">
        <f>D395&amp;B395</f>
        <v>DIEGO (TF-42)46093</v>
      </c>
      <c r="B395" s="102">
        <v>46093</v>
      </c>
      <c r="C395" s="135">
        <f>IF(BS_CONTROLE[[#This Row],[DATA]]="","",WEEKNUM(BS_CONTROLE[[#This Row],[DATA]]))</f>
        <v>11</v>
      </c>
      <c r="D395" s="104" t="s">
        <v>835</v>
      </c>
      <c r="E395" s="159">
        <v>286</v>
      </c>
      <c r="F395" s="126" t="s">
        <v>636</v>
      </c>
      <c r="G395" s="142" t="str">
        <f>IF(D395="","*",VLOOKUP(F395,BS_ATIVIDADE[],3,FALSE))</f>
        <v>LIMPEZA LASTRO</v>
      </c>
      <c r="H395" s="106" t="s">
        <v>558</v>
      </c>
      <c r="I395" s="106" t="s">
        <v>558</v>
      </c>
      <c r="J395" s="105">
        <v>30</v>
      </c>
      <c r="K395" s="105">
        <v>113</v>
      </c>
      <c r="L395" s="105" t="s">
        <v>558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5" s="127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5" s="106">
        <v>0.41666666666666669</v>
      </c>
      <c r="P395" s="106">
        <v>6.25E-2</v>
      </c>
      <c r="Q395" s="105">
        <v>30</v>
      </c>
      <c r="R395" s="10" t="str">
        <f>IFERROR(_xlfn.XLOOKUP(F395, BS_ATIVIDADE[ATIVIDADE],BS_ATIVIDADE[UNIDADE] ), "*")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5" s="105" t="s">
        <v>1029</v>
      </c>
      <c r="W395" s="151" t="s">
        <v>1295</v>
      </c>
      <c r="X395" s="104" t="s">
        <v>386</v>
      </c>
      <c r="Y395" s="129" t="s">
        <v>389</v>
      </c>
      <c r="Z395" s="104"/>
      <c r="AA395" s="105" t="s">
        <v>558</v>
      </c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LIMPEZA LASTRO</v>
      </c>
      <c r="AJ395" s="9" t="str">
        <f>IF(BS_CONTROLE[[#This Row],[Atividade]]=0, "-", BS_CONTROLE[[#This Row],[Atividade]])</f>
        <v>LIMPEZA LASTRO</v>
      </c>
      <c r="AK395" s="31" t="str">
        <f>BS_CONTROLE[[#This Row],[Local - Partida]]</f>
        <v>-</v>
      </c>
      <c r="AL395" s="31" t="str">
        <f>BS_CONTROLE[[#This Row],[Local - Encerramento]]</f>
        <v>-</v>
      </c>
      <c r="AM395" s="105" t="str">
        <f>IF(BS_CONTROLE[[#This Row],[Entre - Estações]]=0, "-", BS_CONTROLE[[#This Row],[Entre - Estações]])</f>
        <v>ZGM-109</v>
      </c>
      <c r="AN395" s="105">
        <f>IF(BS_CONTROLE[[#This Row],[SB]]=0, "-", BS_CONTROLE[[#This Row],[SB]])</f>
        <v>1131121</v>
      </c>
      <c r="AO395" s="105">
        <f>IF(BS_CONTROLE[[#This Row],[SUB]]=0, "-", BS_CONTROLE[[#This Row],[SUB]])</f>
        <v>30</v>
      </c>
      <c r="AP395" s="105">
        <f>BS_CONTROLE[[#This Row],[KM - Inicio]]</f>
        <v>113</v>
      </c>
      <c r="AQ395" s="105">
        <f>BS_CONTROLE[[#This Row],[KM - Inicio]]</f>
        <v>113</v>
      </c>
      <c r="AR395" s="108">
        <v>0.36736111111111114</v>
      </c>
      <c r="AS395" s="108"/>
      <c r="AT395" s="108"/>
      <c r="AU395" s="136"/>
      <c r="AV395" s="136"/>
      <c r="AW395" s="14"/>
      <c r="AX395" s="14"/>
      <c r="AY395" s="164">
        <f>IF(D395="","*",IFERROR(IF(ISODD(COUNT(AS395:AX395)),"ERRO",SUM((AT395-AS395),(AV395-AU395),(AX395-AW395))),"ERRO"))</f>
        <v>0</v>
      </c>
      <c r="AZ395" s="153"/>
      <c r="BA395" s="109"/>
      <c r="BB395" s="10" t="str">
        <f>IFERROR(_xlfn.XLOOKUP(AI395, BS_ATIVIDADE[ATIVIDADE],BS_ATIVIDADE[UNIDADE] ), "*")</f>
        <v>M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5" s="150"/>
      <c r="BG395" s="16"/>
      <c r="BH395" s="17"/>
      <c r="BI395" s="17"/>
      <c r="BJ395" s="17" t="s">
        <v>1321</v>
      </c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Produção e Intervalo</v>
      </c>
      <c r="BR395" s="19">
        <f>IF(OR(B395="",F395=""),"*",AY395/P395)</f>
        <v>0</v>
      </c>
      <c r="BS395" s="19">
        <f>IF(OR(B395="",F395=""),"*",BA395/Q395)</f>
        <v>0</v>
      </c>
      <c r="BT395" s="8" t="str">
        <f t="shared" si="9"/>
        <v/>
      </c>
    </row>
    <row r="396" spans="1:72" hidden="1">
      <c r="A396" s="47" t="str">
        <f>D396&amp;B396</f>
        <v>A8446093</v>
      </c>
      <c r="B396" s="102">
        <v>46093</v>
      </c>
      <c r="C396" s="135">
        <f>IF(BS_CONTROLE[[#This Row],[DATA]]="","",WEEKNUM(BS_CONTROLE[[#This Row],[DATA]]))</f>
        <v>11</v>
      </c>
      <c r="D396" s="104" t="s">
        <v>688</v>
      </c>
      <c r="E396" s="159">
        <v>390</v>
      </c>
      <c r="F396" s="126" t="s">
        <v>579</v>
      </c>
      <c r="G396" s="142" t="str">
        <f>IF(D396="","*",VLOOKUP(F396,BS_ATIVIDADE[],3,FALSE))</f>
        <v>DETECÇÃO</v>
      </c>
      <c r="H396" s="106" t="s">
        <v>1263</v>
      </c>
      <c r="I396" s="106" t="s">
        <v>1531</v>
      </c>
      <c r="J396" s="105">
        <v>54</v>
      </c>
      <c r="K396" s="105">
        <v>106</v>
      </c>
      <c r="L396" s="105"/>
      <c r="M396" s="127" t="s">
        <v>1532</v>
      </c>
      <c r="N396" s="127" t="s">
        <v>1532</v>
      </c>
      <c r="O396" s="106">
        <v>0.3125</v>
      </c>
      <c r="P396" s="106">
        <v>4.1666666666666664E-2</v>
      </c>
      <c r="Q396" s="105">
        <v>1</v>
      </c>
      <c r="R396" s="10" t="str">
        <f>IFERROR(_xlfn.XLOOKUP(F396, BS_ATIVIDADE[ATIVIDADE],BS_ATIVIDADE[UNIDADE] ), "*")</f>
        <v>KM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6" s="105" t="s">
        <v>1017</v>
      </c>
      <c r="W396" s="151" t="s">
        <v>1243</v>
      </c>
      <c r="X396" s="104" t="s">
        <v>386</v>
      </c>
      <c r="Y396" s="129" t="s">
        <v>389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DETECÇÃO - RONDA 7 DIAS</v>
      </c>
      <c r="AJ396" s="9" t="str">
        <f>IF(BS_CONTROLE[[#This Row],[Atividade]]=0, "-", BS_CONTROLE[[#This Row],[Atividade]])</f>
        <v>DETECÇÃO - RONDA 7 DIAS</v>
      </c>
      <c r="AK396" s="31" t="str">
        <f>BS_CONTROLE[[#This Row],[Local - Partida]]</f>
        <v>ZPT105-1</v>
      </c>
      <c r="AL396" s="31" t="str">
        <f>BS_CONTROLE[[#This Row],[Local - Encerramento]]</f>
        <v>ZEV-1</v>
      </c>
      <c r="AM396" s="105" t="str">
        <f>IF(BS_CONTROLE[[#This Row],[Entre - Estações]]=0, "-", BS_CONTROLE[[#This Row],[Entre - Estações]])</f>
        <v>ZPT-ZEV</v>
      </c>
      <c r="AN396" s="105" t="str">
        <f>IF(BS_CONTROLE[[#This Row],[SB]]=0, "-", BS_CONTROLE[[#This Row],[SB]])</f>
        <v>ZPT-ZEV</v>
      </c>
      <c r="AO396" s="105">
        <f>IF(BS_CONTROLE[[#This Row],[SUB]]=0, "-", BS_CONTROLE[[#This Row],[SUB]])</f>
        <v>54</v>
      </c>
      <c r="AP396" s="105">
        <f>BS_CONTROLE[[#This Row],[KM - Inicio]]</f>
        <v>106</v>
      </c>
      <c r="AQ396" s="105">
        <f>BS_CONTROLE[[#This Row],[KM - Inicio]]</f>
        <v>106</v>
      </c>
      <c r="AR396" s="108">
        <v>0.31874999999999998</v>
      </c>
      <c r="AS396" s="108"/>
      <c r="AT396" s="108"/>
      <c r="AU396" s="136"/>
      <c r="AV396" s="136"/>
      <c r="AW396" s="14"/>
      <c r="AX396" s="14"/>
      <c r="AY396" s="164">
        <f>IF(D396="","*",IFERROR(IF(ISODD(COUNT(AS396:AX396)),"ERRO",SUM((AT396-AS396),(AV396-AU396),(AX396-AW396))),"ERRO"))</f>
        <v>0</v>
      </c>
      <c r="AZ396" s="153"/>
      <c r="BA396" s="109"/>
      <c r="BB396" s="10" t="str">
        <f>IFERROR(_xlfn.XLOOKUP(AI396, BS_ATIVIDADE[ATIVIDADE],BS_ATIVIDADE[UNIDADE] ), "*")</f>
        <v>KM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6" s="150"/>
      <c r="BG396" s="16"/>
      <c r="BH396" s="17"/>
      <c r="BI396" s="17"/>
      <c r="BJ396" s="17" t="s">
        <v>1533</v>
      </c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Produção e Intervalo</v>
      </c>
      <c r="BR396" s="19">
        <f>IF(OR(B396="",F396=""),"*",AY396/P396)</f>
        <v>0</v>
      </c>
      <c r="BS396" s="19">
        <f>IF(OR(B396="",F396=""),"*",BA396/Q396)</f>
        <v>0</v>
      </c>
      <c r="BT396" s="8" t="str">
        <f t="shared" si="9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9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9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9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9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9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9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9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9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9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9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9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9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9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9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9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9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9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9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9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9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9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9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9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1534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1535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1535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61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47" operator="equal">
      <formula>"NÃO"</formula>
    </cfRule>
    <cfRule type="cellIs" dxfId="220" priority="11848" operator="equal">
      <formula>"SIM"</formula>
    </cfRule>
  </conditionalFormatting>
  <conditionalFormatting sqref="AZ6:AZ1001">
    <cfRule type="expression" dxfId="219" priority="54303">
      <formula>#REF!=1</formula>
    </cfRule>
  </conditionalFormatting>
  <conditionalFormatting sqref="BE6:BE1001 AY6:AY1001 U6:U1001">
    <cfRule type="cellIs" dxfId="218" priority="54287" operator="equal">
      <formula>"ERRO"</formula>
    </cfRule>
  </conditionalFormatting>
  <conditionalFormatting sqref="BQ6:BQ1001">
    <cfRule type="cellIs" dxfId="217" priority="54282" operator="equal">
      <formula>"Produção e Intervalo"</formula>
    </cfRule>
    <cfRule type="cellIs" dxfId="216" priority="54283" operator="equal">
      <formula>"Aderente"</formula>
    </cfRule>
    <cfRule type="cellIs" dxfId="215" priority="54284" operator="equal">
      <formula>"Intervalo"</formula>
    </cfRule>
    <cfRule type="cellIs" dxfId="214" priority="54285" operator="equal">
      <formula>"Produção"</formula>
    </cfRule>
    <cfRule type="cellIs" dxfId="213" priority="54286" operator="equal">
      <formula>"ERRO"</formula>
    </cfRule>
  </conditionalFormatting>
  <conditionalFormatting sqref="BR6:BS1001">
    <cfRule type="cellIs" dxfId="212" priority="54264" operator="equal">
      <formula>"*"</formula>
    </cfRule>
    <cfRule type="cellIs" dxfId="211" priority="54265" operator="greaterThanOrEqual">
      <formula>1</formula>
    </cfRule>
    <cfRule type="cellIs" dxfId="210" priority="54266" operator="lessThan">
      <formula>1</formula>
    </cfRule>
  </conditionalFormatting>
  <conditionalFormatting sqref="BK949 BK81 BK83:BK84 BK101 BK67 BK69 BK72:BK73 BJ9:BJ366 BJ368:BJ1001">
    <cfRule type="iconSet" priority="61051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8:BK359 BK332 BK344 BK395:BK948 BK361:BK365 BK371 BK388:BK392 BK373:BK386 BK367:BK368">
    <cfRule type="iconSet" priority="61053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90" operator="equal">
      <formula>"OPORTUNIDADE"</formula>
    </cfRule>
  </conditionalFormatting>
  <conditionalFormatting sqref="Y6:Z39">
    <cfRule type="cellIs" dxfId="208" priority="388" operator="equal">
      <formula>"NÃO"</formula>
    </cfRule>
    <cfRule type="cellIs" dxfId="207" priority="389" operator="equal">
      <formula>"SIM"</formula>
    </cfRule>
  </conditionalFormatting>
  <conditionalFormatting sqref="BH6:BH8">
    <cfRule type="iconSet" priority="386">
      <iconSet showValue="0">
        <cfvo type="percent" val="0"/>
        <cfvo type="num" val="1"/>
        <cfvo type="num" val="1" gte="0"/>
      </iconSet>
    </cfRule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58" operator="equal">
      <formula>"OPORTUNIDADE"</formula>
    </cfRule>
  </conditionalFormatting>
  <conditionalFormatting sqref="Y44:Z44">
    <cfRule type="cellIs" dxfId="205" priority="356" operator="equal">
      <formula>"NÃO"</formula>
    </cfRule>
    <cfRule type="cellIs" dxfId="204" priority="357" operator="equal">
      <formula>"SIM"</formula>
    </cfRule>
  </conditionalFormatting>
  <conditionalFormatting sqref="Y48:Z52">
    <cfRule type="cellIs" dxfId="203" priority="355" operator="equal">
      <formula>"OPORTUNIDADE"</formula>
    </cfRule>
  </conditionalFormatting>
  <conditionalFormatting sqref="Y48:Z52">
    <cfRule type="cellIs" dxfId="202" priority="353" operator="equal">
      <formula>"NÃO"</formula>
    </cfRule>
    <cfRule type="cellIs" dxfId="201" priority="354" operator="equal">
      <formula>"SIM"</formula>
    </cfRule>
  </conditionalFormatting>
  <conditionalFormatting sqref="Y68:Z68">
    <cfRule type="cellIs" dxfId="200" priority="349" operator="equal">
      <formula>"OPORTUNIDADE"</formula>
    </cfRule>
  </conditionalFormatting>
  <conditionalFormatting sqref="Y68:Z68">
    <cfRule type="cellIs" dxfId="199" priority="347" operator="equal">
      <formula>"NÃO"</formula>
    </cfRule>
    <cfRule type="cellIs" dxfId="198" priority="348" operator="equal">
      <formula>"SIM"</formula>
    </cfRule>
  </conditionalFormatting>
  <conditionalFormatting sqref="Y75:Z75">
    <cfRule type="cellIs" dxfId="197" priority="346" operator="equal">
      <formula>"OPORTUNIDADE"</formula>
    </cfRule>
  </conditionalFormatting>
  <conditionalFormatting sqref="Y75:Z75">
    <cfRule type="cellIs" dxfId="196" priority="344" operator="equal">
      <formula>"NÃO"</formula>
    </cfRule>
    <cfRule type="cellIs" dxfId="195" priority="345" operator="equal">
      <formula>"SIM"</formula>
    </cfRule>
  </conditionalFormatting>
  <conditionalFormatting sqref="Y77:Z78">
    <cfRule type="cellIs" dxfId="194" priority="343" operator="equal">
      <formula>"OPORTUNIDADE"</formula>
    </cfRule>
  </conditionalFormatting>
  <conditionalFormatting sqref="Y77:Z78">
    <cfRule type="cellIs" dxfId="193" priority="341" operator="equal">
      <formula>"NÃO"</formula>
    </cfRule>
    <cfRule type="cellIs" dxfId="192" priority="342" operator="equal">
      <formula>"SIM"</formula>
    </cfRule>
  </conditionalFormatting>
  <conditionalFormatting sqref="Y81:Z81">
    <cfRule type="cellIs" dxfId="191" priority="340" operator="equal">
      <formula>"OPORTUNIDADE"</formula>
    </cfRule>
  </conditionalFormatting>
  <conditionalFormatting sqref="Y81:Z81">
    <cfRule type="cellIs" dxfId="190" priority="338" operator="equal">
      <formula>"NÃO"</formula>
    </cfRule>
    <cfRule type="cellIs" dxfId="189" priority="339" operator="equal">
      <formula>"SIM"</formula>
    </cfRule>
  </conditionalFormatting>
  <conditionalFormatting sqref="Y82:Z82">
    <cfRule type="cellIs" dxfId="188" priority="337" operator="equal">
      <formula>"OPORTUNIDADE"</formula>
    </cfRule>
  </conditionalFormatting>
  <conditionalFormatting sqref="Y82:Z82">
    <cfRule type="cellIs" dxfId="187" priority="335" operator="equal">
      <formula>"NÃO"</formula>
    </cfRule>
    <cfRule type="cellIs" dxfId="186" priority="336" operator="equal">
      <formula>"SIM"</formula>
    </cfRule>
  </conditionalFormatting>
  <conditionalFormatting sqref="Y91:Z91">
    <cfRule type="cellIs" dxfId="185" priority="334" operator="equal">
      <formula>"OPORTUNIDADE"</formula>
    </cfRule>
  </conditionalFormatting>
  <conditionalFormatting sqref="Y91:Z91">
    <cfRule type="cellIs" dxfId="184" priority="332" operator="equal">
      <formula>"NÃO"</formula>
    </cfRule>
    <cfRule type="cellIs" dxfId="183" priority="333" operator="equal">
      <formula>"SIM"</formula>
    </cfRule>
  </conditionalFormatting>
  <conditionalFormatting sqref="Y93:Z93">
    <cfRule type="cellIs" dxfId="182" priority="331" operator="equal">
      <formula>"OPORTUNIDADE"</formula>
    </cfRule>
  </conditionalFormatting>
  <conditionalFormatting sqref="Y93:Z93">
    <cfRule type="cellIs" dxfId="181" priority="329" operator="equal">
      <formula>"NÃO"</formula>
    </cfRule>
    <cfRule type="cellIs" dxfId="180" priority="330" operator="equal">
      <formula>"SIM"</formula>
    </cfRule>
  </conditionalFormatting>
  <conditionalFormatting sqref="Y95:Z95">
    <cfRule type="cellIs" dxfId="179" priority="328" operator="equal">
      <formula>"OPORTUNIDADE"</formula>
    </cfRule>
  </conditionalFormatting>
  <conditionalFormatting sqref="Y95:Z95">
    <cfRule type="cellIs" dxfId="178" priority="326" operator="equal">
      <formula>"NÃO"</formula>
    </cfRule>
    <cfRule type="cellIs" dxfId="177" priority="327" operator="equal">
      <formula>"SIM"</formula>
    </cfRule>
  </conditionalFormatting>
  <conditionalFormatting sqref="Y96:Z97">
    <cfRule type="cellIs" dxfId="176" priority="325" operator="equal">
      <formula>"OPORTUNIDADE"</formula>
    </cfRule>
  </conditionalFormatting>
  <conditionalFormatting sqref="Y96:Z97">
    <cfRule type="cellIs" dxfId="175" priority="323" operator="equal">
      <formula>"NÃO"</formula>
    </cfRule>
    <cfRule type="cellIs" dxfId="174" priority="324" operator="equal">
      <formula>"SIM"</formula>
    </cfRule>
  </conditionalFormatting>
  <conditionalFormatting sqref="BK95:BK9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54">
      <iconSet showValue="0">
        <cfvo type="percent" val="0"/>
        <cfvo type="num" val="1"/>
        <cfvo type="num" val="1" gte="0"/>
      </iconSet>
    </cfRule>
    <cfRule type="iconSet" priority="61155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58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8:BP365 BP339 BP331 BP352 BP341:BP344 BP346:BP348 BP395:BP1001 BP388:BP392 BP373:BP386 BP371 BP367:BP368">
    <cfRule type="iconSet" priority="6116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68" operator="equal">
      <formula>"OPORTUNIDADE"</formula>
    </cfRule>
  </conditionalFormatting>
  <conditionalFormatting sqref="Z173">
    <cfRule type="cellIs" dxfId="172" priority="266" operator="equal">
      <formula>"NÃO"</formula>
    </cfRule>
    <cfRule type="cellIs" dxfId="171" priority="267" operator="equal">
      <formula>"SIM"</formula>
    </cfRule>
  </conditionalFormatting>
  <conditionalFormatting sqref="BP134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225" operator="equal">
      <formula>"OPORTUNIDADE"</formula>
    </cfRule>
  </conditionalFormatting>
  <conditionalFormatting sqref="Z201">
    <cfRule type="cellIs" dxfId="169" priority="223" operator="equal">
      <formula>"NÃO"</formula>
    </cfRule>
    <cfRule type="cellIs" dxfId="168" priority="224" operator="equal">
      <formula>"SIM"</formula>
    </cfRule>
  </conditionalFormatting>
  <conditionalFormatting sqref="Z202">
    <cfRule type="cellIs" dxfId="167" priority="222" operator="equal">
      <formula>"OPORTUNIDADE"</formula>
    </cfRule>
  </conditionalFormatting>
  <conditionalFormatting sqref="Z202">
    <cfRule type="cellIs" dxfId="166" priority="220" operator="equal">
      <formula>"NÃO"</formula>
    </cfRule>
    <cfRule type="cellIs" dxfId="165" priority="221" operator="equal">
      <formula>"SIM"</formula>
    </cfRule>
  </conditionalFormatting>
  <conditionalFormatting sqref="BP14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214" operator="equal">
      <formula>"OPORTUNIDADE"</formula>
    </cfRule>
  </conditionalFormatting>
  <conditionalFormatting sqref="Y201">
    <cfRule type="cellIs" dxfId="163" priority="212" operator="equal">
      <formula>"NÃO"</formula>
    </cfRule>
    <cfRule type="cellIs" dxfId="162" priority="213" operator="equal">
      <formula>"SIM"</formula>
    </cfRule>
  </conditionalFormatting>
  <conditionalFormatting sqref="BK19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92" operator="equal">
      <formula>"OPORTUNIDADE"</formula>
    </cfRule>
  </conditionalFormatting>
  <conditionalFormatting sqref="Z245">
    <cfRule type="cellIs" dxfId="160" priority="190" operator="equal">
      <formula>"NÃO"</formula>
    </cfRule>
    <cfRule type="cellIs" dxfId="159" priority="191" operator="equal">
      <formula>"SIM"</formula>
    </cfRule>
  </conditionalFormatting>
  <conditionalFormatting sqref="BP18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66" operator="equal">
      <formula>"OPORTUNIDADE"</formula>
    </cfRule>
  </conditionalFormatting>
  <conditionalFormatting sqref="Z285">
    <cfRule type="cellIs" dxfId="157" priority="164" operator="equal">
      <formula>"NÃO"</formula>
    </cfRule>
    <cfRule type="cellIs" dxfId="156" priority="165" operator="equal">
      <formula>"SIM"</formula>
    </cfRule>
  </conditionalFormatting>
  <conditionalFormatting sqref="Z286">
    <cfRule type="cellIs" dxfId="155" priority="163" operator="equal">
      <formula>"OPORTUNIDADE"</formula>
    </cfRule>
  </conditionalFormatting>
  <conditionalFormatting sqref="Z286">
    <cfRule type="cellIs" dxfId="154" priority="161" operator="equal">
      <formula>"NÃO"</formula>
    </cfRule>
    <cfRule type="cellIs" dxfId="153" priority="162" operator="equal">
      <formula>"SIM"</formula>
    </cfRule>
  </conditionalFormatting>
  <conditionalFormatting sqref="BK25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5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3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41:BK34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4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9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9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9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8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7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6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1536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1537</v>
      </c>
      <c r="C4" s="160" t="s">
        <v>1538</v>
      </c>
      <c r="D4" s="160" t="s">
        <v>1539</v>
      </c>
      <c r="E4" s="160" t="s">
        <v>1540</v>
      </c>
      <c r="F4" s="160" t="s">
        <v>4</v>
      </c>
      <c r="G4" s="160" t="s">
        <v>1541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1542</v>
      </c>
      <c r="C6" s="161">
        <v>407867</v>
      </c>
      <c r="D6" s="161" t="s">
        <v>1543</v>
      </c>
      <c r="E6" s="161" t="s">
        <v>789</v>
      </c>
      <c r="F6" s="161" t="s">
        <v>1544</v>
      </c>
      <c r="G6" s="162"/>
    </row>
    <row r="7" spans="2:7">
      <c r="B7" s="161" t="s">
        <v>1545</v>
      </c>
      <c r="C7" s="161">
        <v>293644</v>
      </c>
      <c r="D7" s="161" t="s">
        <v>1546</v>
      </c>
      <c r="E7" s="161" t="s">
        <v>789</v>
      </c>
      <c r="F7" s="161" t="s">
        <v>1544</v>
      </c>
      <c r="G7" s="162"/>
    </row>
    <row r="8" spans="2:7">
      <c r="B8" s="161" t="s">
        <v>1547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1548</v>
      </c>
      <c r="C9" s="161">
        <v>256790</v>
      </c>
      <c r="D9" s="161" t="s">
        <v>1549</v>
      </c>
      <c r="E9" s="161" t="s">
        <v>790</v>
      </c>
      <c r="F9" s="161" t="s">
        <v>1550</v>
      </c>
      <c r="G9" s="162">
        <v>46357</v>
      </c>
    </row>
    <row r="10" spans="2:7">
      <c r="B10" s="161" t="s">
        <v>1551</v>
      </c>
      <c r="C10" s="161">
        <v>265193</v>
      </c>
      <c r="D10" s="161" t="s">
        <v>1552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1553</v>
      </c>
      <c r="C11" s="161">
        <v>293716</v>
      </c>
      <c r="D11" s="161" t="s">
        <v>1554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1555</v>
      </c>
      <c r="C12" s="161">
        <v>257258</v>
      </c>
      <c r="D12" s="161" t="s">
        <v>1556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1557</v>
      </c>
      <c r="C13" s="161">
        <v>371147</v>
      </c>
      <c r="D13" s="161" t="s">
        <v>1558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1559</v>
      </c>
      <c r="C14" s="161">
        <v>259230</v>
      </c>
      <c r="D14" s="161" t="s">
        <v>1560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1561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1562</v>
      </c>
      <c r="C16" s="161">
        <v>258542</v>
      </c>
      <c r="D16" s="161" t="s">
        <v>1563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1564</v>
      </c>
      <c r="C17" s="161">
        <v>257050</v>
      </c>
      <c r="D17" s="161" t="s">
        <v>1565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G20" sqref="G20"/>
    </sheetView>
  </sheetViews>
  <sheetFormatPr defaultRowHeight="15"/>
  <cols>
    <col min="2" max="2" width="14.7109375" customWidth="1"/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1566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1567</v>
      </c>
      <c r="D4" s="163" t="s">
        <v>1568</v>
      </c>
      <c r="E4" s="163" t="s">
        <v>1569</v>
      </c>
      <c r="F4" s="160" t="s">
        <v>1570</v>
      </c>
      <c r="G4" s="163" t="s">
        <v>1571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1572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1573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1572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1574</v>
      </c>
      <c r="G9" s="167" t="s">
        <v>1575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1572</v>
      </c>
      <c r="G10" s="167"/>
    </row>
    <row r="11" spans="2:7" hidden="1">
      <c r="B11" s="191" t="s">
        <v>1576</v>
      </c>
      <c r="C11" s="191">
        <v>9038</v>
      </c>
      <c r="D11" s="192">
        <v>46085</v>
      </c>
      <c r="E11" s="191">
        <v>10520</v>
      </c>
      <c r="F11" s="193" t="s">
        <v>1577</v>
      </c>
      <c r="G11" s="191"/>
    </row>
    <row r="12" spans="2:7">
      <c r="B12" s="167" t="s">
        <v>1576</v>
      </c>
      <c r="C12" s="167">
        <v>9059</v>
      </c>
      <c r="D12" s="168">
        <v>46091</v>
      </c>
      <c r="E12" s="167">
        <v>15600</v>
      </c>
      <c r="F12" s="169" t="s">
        <v>1572</v>
      </c>
      <c r="G12" s="167" t="s">
        <v>1578</v>
      </c>
    </row>
    <row r="13" spans="2:7">
      <c r="B13" s="167" t="s">
        <v>709</v>
      </c>
      <c r="C13" s="167" t="s">
        <v>1579</v>
      </c>
      <c r="D13" s="168">
        <v>46086</v>
      </c>
      <c r="E13" s="167">
        <v>8.5</v>
      </c>
      <c r="F13" s="169" t="s">
        <v>1580</v>
      </c>
      <c r="G13" s="167"/>
    </row>
    <row r="14" spans="2:7">
      <c r="B14" s="167" t="s">
        <v>709</v>
      </c>
      <c r="C14" s="167" t="s">
        <v>1581</v>
      </c>
      <c r="D14" s="168">
        <v>46086</v>
      </c>
      <c r="E14" s="167">
        <v>10000</v>
      </c>
      <c r="F14" s="169" t="s">
        <v>1580</v>
      </c>
      <c r="G14" s="167"/>
    </row>
    <row r="15" spans="2:7">
      <c r="B15" s="167" t="s">
        <v>709</v>
      </c>
      <c r="C15" s="167" t="s">
        <v>1582</v>
      </c>
      <c r="D15" s="168">
        <v>46086</v>
      </c>
      <c r="E15" s="167">
        <v>8000</v>
      </c>
      <c r="F15" s="169" t="s">
        <v>1580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1583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1584</v>
      </c>
      <c r="C2" s="121" t="s">
        <v>946</v>
      </c>
      <c r="D2" s="76" t="s">
        <v>948</v>
      </c>
      <c r="E2" s="76" t="s">
        <v>1585</v>
      </c>
      <c r="F2" s="99" t="s">
        <v>1586</v>
      </c>
      <c r="G2" s="76" t="s">
        <v>1587</v>
      </c>
      <c r="H2" s="76" t="s">
        <v>1588</v>
      </c>
      <c r="I2" s="76" t="s">
        <v>1589</v>
      </c>
      <c r="J2" s="76" t="s">
        <v>1590</v>
      </c>
      <c r="K2" s="78" t="s">
        <v>1591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(TP-780)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A74</v>
      </c>
      <c r="E358" s="94" t="str">
        <f>IF(SP_SUL!H362="","*",SP_SUL!H362)</f>
        <v>ZBVZQB</v>
      </c>
      <c r="F358" s="100" t="str">
        <f>IF(SP_SUL!M362="","*",SP_SUL!M362)</f>
        <v>ZQBZBV-ZRX</v>
      </c>
      <c r="G358" s="95" t="str">
        <f>IF(SP_SUL!I362="","*",SP_SUL!I362)</f>
        <v>ZRX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46093</v>
      </c>
      <c r="D360" s="94" t="str">
        <f>IF(SP_SUL!D364="","*",SP_SUL!D364)</f>
        <v>W59</v>
      </c>
      <c r="E360" s="94" t="str">
        <f>IF(SP_SUL!H364="","*",SP_SUL!H364)</f>
        <v>ZYU-1</v>
      </c>
      <c r="F360" s="100" t="str">
        <f>IF(SP_SUL!M364="","*",SP_SUL!M364)</f>
        <v>ZQB-ZBV</v>
      </c>
      <c r="G360" s="95" t="str">
        <f>IF(SP_SUL!I364="","*",SP_SUL!I364)</f>
        <v>ZYU-1</v>
      </c>
      <c r="H360" s="95" t="str">
        <f>IF(SP_SUL!AB364="","*",SP_SUL!AB364)</f>
        <v>FIXO</v>
      </c>
      <c r="I360" s="95" t="str">
        <f>IF(SP_SUL!AC364="","*",SP_SUL!AC364)</f>
        <v>ACIONAMENTO</v>
      </c>
      <c r="J360" s="96" t="str">
        <f>IF(SP_SUL!AA364="","*",SP_SUL!AA364)</f>
        <v>2 (Palazi + auxiliar)</v>
      </c>
      <c r="K360" s="97">
        <f>IF(SP_SUL!AD364="","*",SP_SUL!AD364)</f>
        <v>0.29166666666666669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46093</v>
      </c>
      <c r="D361" s="94" t="str">
        <f>IF(SP_SUL!D365="","*",SP_SUL!D365)</f>
        <v>JOSÉ (TP-879)</v>
      </c>
      <c r="E361" s="94" t="str">
        <f>IF(SP_SUL!H365="","*",SP_SUL!H365)</f>
        <v>-</v>
      </c>
      <c r="F361" s="100" t="str">
        <f>IF(SP_SUL!M365="","*",SP_SUL!M365)</f>
        <v>ZQB-ZBV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46093</v>
      </c>
      <c r="D362" s="94" t="str">
        <f>IF(SP_SUL!D366="","*",SP_SUL!D366)</f>
        <v>EDSON/NIVALDO (TP-819)</v>
      </c>
      <c r="E362" s="94" t="str">
        <f>IF(SP_SUL!H366="","*",SP_SUL!H366)</f>
        <v>-</v>
      </c>
      <c r="F362" s="100" t="str">
        <f>IF(SP_SUL!M366="","*",SP_SUL!M366)</f>
        <v>ZXI-ZVK</v>
      </c>
      <c r="G362" s="95" t="str">
        <f>IF(SP_SUL!I366="","*",SP_SUL!I366)</f>
        <v>-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46093</v>
      </c>
      <c r="D363" s="94" t="str">
        <f>IF(SP_SUL!D367="","*",SP_SUL!D367)</f>
        <v>ROGÉRIO (TP-730)</v>
      </c>
      <c r="E363" s="94" t="str">
        <f>IF(SP_SUL!H367="","*",SP_SUL!H367)</f>
        <v>ZYU1</v>
      </c>
      <c r="F363" s="100" t="str">
        <f>IF(SP_SUL!M367="","*",SP_SUL!M367)</f>
        <v>ZYU</v>
      </c>
      <c r="G363" s="95" t="str">
        <f>IF(SP_SUL!I367="","*",SP_SUL!I367)</f>
        <v>-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-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V93</v>
      </c>
      <c r="E364" s="94" t="str">
        <f>IF(SP_SUL!H368="","*",SP_SUL!H368)</f>
        <v>ZXP-2</v>
      </c>
      <c r="F364" s="100" t="str">
        <f>IF(SP_SUL!M368="","*",SP_SUL!M368)</f>
        <v>ZXP-ZFY</v>
      </c>
      <c r="G364" s="95" t="str">
        <f>IF(SP_SUL!I368="","*",SP_SUL!I368)</f>
        <v>ZXP-2</v>
      </c>
      <c r="H364" s="95" t="str">
        <f>IF(SP_SUL!AB368="","*",SP_SUL!AB368)</f>
        <v>ESCALA</v>
      </c>
      <c r="I364" s="95" t="str">
        <f>IF(SP_SUL!AC368="","*",SP_SUL!AC368)</f>
        <v>AGD ACIONAMENTO PCM</v>
      </c>
      <c r="J364" s="96">
        <f>IF(SP_SUL!AA368="","*",SP_SUL!AA368)</f>
        <v>1</v>
      </c>
      <c r="K364" s="97">
        <f>IF(SP_SUL!AD368="","*",SP_SUL!AD368)</f>
        <v>0.33333333333333331</v>
      </c>
    </row>
    <row r="365" spans="2:11" hidden="1">
      <c r="B365" s="94" t="str">
        <f>IF(SP_SUL!Y369="","*",SP_SUL!Y369)</f>
        <v>OPORTUNIDADE</v>
      </c>
      <c r="C365" s="95">
        <f>IF(SP_SUL!B369="","*",SP_SUL!B369)</f>
        <v>46093</v>
      </c>
      <c r="D365" s="94" t="str">
        <f>IF(SP_SUL!D369="","*",SP_SUL!D369)</f>
        <v>ROBSON (TF-701)</v>
      </c>
      <c r="E365" s="94" t="str">
        <f>IF(SP_SUL!H369="","*",SP_SUL!H369)</f>
        <v>ZXP189</v>
      </c>
      <c r="F365" s="100" t="str">
        <f>IF(SP_SUL!M369="","*",SP_SUL!M369)</f>
        <v>ZXP-ZFY</v>
      </c>
      <c r="G365" s="95" t="str">
        <f>IF(SP_SUL!I369="","*",SP_SUL!I369)</f>
        <v>-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-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46093</v>
      </c>
      <c r="D366" s="94" t="str">
        <f>IF(SP_SUL!D370="","*",SP_SUL!D370)</f>
        <v>CARLOS (TP-722)</v>
      </c>
      <c r="E366" s="94" t="str">
        <f>IF(SP_SUL!H370="","*",SP_SUL!H370)</f>
        <v>-</v>
      </c>
      <c r="F366" s="100" t="str">
        <f>IF(SP_SUL!M370="","*",SP_SUL!M370)</f>
        <v>ZPS-ZCX</v>
      </c>
      <c r="G366" s="95" t="str">
        <f>IF(SP_SUL!I370="","*",SP_SUL!I370)</f>
        <v>-</v>
      </c>
      <c r="H366" s="95" t="str">
        <f>IF(SP_SUL!AB370="","*",SP_SUL!AB370)</f>
        <v>FIXO</v>
      </c>
      <c r="I366" s="95" t="str">
        <f>IF(SP_SUL!AC370="","*",SP_SUL!AC370)</f>
        <v>ACIONAMENTO</v>
      </c>
      <c r="J366" s="96">
        <f>IF(SP_SUL!AA370="","*",SP_SUL!AA370)</f>
        <v>1</v>
      </c>
      <c r="K366" s="97">
        <f>IF(SP_SUL!AD370="","*",SP_SUL!AD370)</f>
        <v>0.3125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OPORTUNIDADE</v>
      </c>
      <c r="C368" s="95">
        <f>IF(SP_SUL!B372="","*",SP_SUL!B372)</f>
        <v>46093</v>
      </c>
      <c r="D368" s="94" t="str">
        <f>IF(SP_SUL!D372="","*",SP_SUL!D372)</f>
        <v>E17</v>
      </c>
      <c r="E368" s="94" t="str">
        <f>IF(SP_SUL!H372="","*",SP_SUL!H372)</f>
        <v>102ZKW-2</v>
      </c>
      <c r="F368" s="100" t="str">
        <f>IF(SP_SUL!M372="","*",SP_SUL!M372)</f>
        <v>ZLU</v>
      </c>
      <c r="G368" s="95" t="str">
        <f>IF(SP_SUL!I372="","*",SP_SUL!I372)</f>
        <v>102ZKW-2</v>
      </c>
      <c r="H368" s="95" t="str">
        <f>IF(SP_SUL!AB372="","*",SP_SUL!AB372)</f>
        <v>FIXO</v>
      </c>
      <c r="I368" s="95" t="str">
        <f>IF(SP_SUL!AC372="","*",SP_SUL!AC372)</f>
        <v>ACIONAMENTO</v>
      </c>
      <c r="J368" s="96">
        <f>IF(SP_SUL!AA372="","*",SP_SUL!AA372)</f>
        <v>1</v>
      </c>
      <c r="K368" s="97">
        <f>IF(SP_SUL!AD372="","*",SP_SUL!AD372)</f>
        <v>0.35416666666666669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46093</v>
      </c>
      <c r="D369" s="94" t="str">
        <f>IF(SP_SUL!D373="","*",SP_SUL!D373)</f>
        <v>W60</v>
      </c>
      <c r="E369" s="94" t="str">
        <f>IF(SP_SUL!H373="","*",SP_SUL!H373)</f>
        <v>ZEM130-2</v>
      </c>
      <c r="F369" s="100" t="str">
        <f>IF(SP_SUL!M373="","*",SP_SUL!M373)</f>
        <v>ZWI-ZYQ</v>
      </c>
      <c r="G369" s="95" t="str">
        <f>IF(SP_SUL!I373="","*",SP_SUL!I373)</f>
        <v>ZEM130-2</v>
      </c>
      <c r="H369" s="95" t="str">
        <f>IF(SP_SUL!AB373="","*",SP_SUL!AB373)</f>
        <v>FIXO</v>
      </c>
      <c r="I369" s="95" t="str">
        <f>IF(SP_SUL!AC373="","*",SP_SUL!AC373)</f>
        <v>ACIONAMENTO</v>
      </c>
      <c r="J369" s="96">
        <f>IF(SP_SUL!AA373="","*",SP_SUL!AA373)</f>
        <v>2</v>
      </c>
      <c r="K369" s="97">
        <f>IF(SP_SUL!AD373="","*",SP_SUL!AD373)</f>
        <v>0.29166666666666669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46093</v>
      </c>
      <c r="D370" s="94" t="str">
        <f>IF(SP_SUL!D374="","*",SP_SUL!D374)</f>
        <v>EDSON (TP-719)</v>
      </c>
      <c r="E370" s="94" t="str">
        <f>IF(SP_SUL!H374="","*",SP_SUL!H374)</f>
        <v>-</v>
      </c>
      <c r="F370" s="100" t="str">
        <f>IF(SP_SUL!M374="","*",SP_SUL!M374)</f>
        <v>ZYQ-ZEM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OPORTUNIDADE</v>
      </c>
      <c r="C371" s="95">
        <f>IF(SP_SUL!B375="","*",SP_SUL!B375)</f>
        <v>46093</v>
      </c>
      <c r="D371" s="94" t="str">
        <f>IF(SP_SUL!D375="","*",SP_SUL!D375)</f>
        <v>EDSON (TP-719)</v>
      </c>
      <c r="E371" s="94" t="str">
        <f>IF(SP_SUL!H375="","*",SP_SUL!H375)</f>
        <v>-</v>
      </c>
      <c r="F371" s="100" t="str">
        <f>IF(SP_SUL!M375="","*",SP_SUL!M375)</f>
        <v>ZYQ-ZEM</v>
      </c>
      <c r="G371" s="95" t="str">
        <f>IF(SP_SUL!I375="","*",SP_SUL!I375)</f>
        <v>-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-</v>
      </c>
      <c r="K371" s="97" t="str">
        <f>IF(SP_SUL!AD375="","*",SP_SUL!AD375)</f>
        <v>*</v>
      </c>
    </row>
    <row r="372" spans="2:11" hidden="1">
      <c r="B372" s="94" t="str">
        <f>IF(SP_SUL!Y376="","*",SP_SUL!Y376)</f>
        <v>OPORTUNIDADE</v>
      </c>
      <c r="C372" s="95">
        <f>IF(SP_SUL!B376="","*",SP_SUL!B376)</f>
        <v>46093</v>
      </c>
      <c r="D372" s="94" t="str">
        <f>IF(SP_SUL!D376="","*",SP_SUL!D376)</f>
        <v>V89</v>
      </c>
      <c r="E372" s="94" t="str">
        <f>IF(SP_SUL!H376="","*",SP_SUL!H376)</f>
        <v>ZEM130-1</v>
      </c>
      <c r="F372" s="100" t="str">
        <f>IF(SP_SUL!M376="","*",SP_SUL!M376)</f>
        <v>ZYQ-ZEM</v>
      </c>
      <c r="G372" s="95" t="str">
        <f>IF(SP_SUL!I376="","*",SP_SUL!I376)</f>
        <v>ZEM130-2</v>
      </c>
      <c r="H372" s="95" t="str">
        <f>IF(SP_SUL!AB376="","*",SP_SUL!AB376)</f>
        <v>FIXO</v>
      </c>
      <c r="I372" s="95" t="str">
        <f>IF(SP_SUL!AC376="","*",SP_SUL!AC376)</f>
        <v>ACIONAMENTO</v>
      </c>
      <c r="J372" s="96">
        <f>IF(SP_SUL!AA376="","*",SP_SUL!AA376)</f>
        <v>1</v>
      </c>
      <c r="K372" s="97">
        <f>IF(SP_SUL!AD376="","*",SP_SUL!AD376)</f>
        <v>0.35416666666666669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OPORTUNIDADE</v>
      </c>
      <c r="C374" s="95">
        <f>IF(SP_SUL!B378="","*",SP_SUL!B378)</f>
        <v>46093</v>
      </c>
      <c r="D374" s="94" t="str">
        <f>IF(SP_SUL!D378="","*",SP_SUL!D378)</f>
        <v>MOD ZRB</v>
      </c>
      <c r="E374" s="94" t="str">
        <f>IF(SP_SUL!H378="","*",SP_SUL!H378)</f>
        <v>-</v>
      </c>
      <c r="F374" s="100" t="str">
        <f>IF(SP_SUL!M378="","*",SP_SUL!M378)</f>
        <v>ZEJ-ZRB</v>
      </c>
      <c r="G374" s="95" t="str">
        <f>IF(SP_SUL!I378="","*",SP_SUL!I378)</f>
        <v>-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-</v>
      </c>
      <c r="K374" s="97" t="str">
        <f>IF(SP_SUL!AD378="","*",SP_SUL!AD378)</f>
        <v>*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46093</v>
      </c>
      <c r="D375" s="94" t="str">
        <f>IF(SP_SUL!D379="","*",SP_SUL!D379)</f>
        <v>W96</v>
      </c>
      <c r="E375" s="94" t="str">
        <f>IF(SP_SUL!H379="","*",SP_SUL!H379)</f>
        <v xml:space="preserve">ZEM1 </v>
      </c>
      <c r="F375" s="100" t="str">
        <f>IF(SP_SUL!M379="","*",SP_SUL!M379)</f>
        <v>ZEJ-ZEV</v>
      </c>
      <c r="G375" s="95" t="str">
        <f>IF(SP_SUL!I379="","*",SP_SUL!I379)</f>
        <v xml:space="preserve">ZEM1 </v>
      </c>
      <c r="H375" s="95" t="str">
        <f>IF(SP_SUL!AB379="","*",SP_SUL!AB379)</f>
        <v>FIXO</v>
      </c>
      <c r="I375" s="95" t="str">
        <f>IF(SP_SUL!AC379="","*",SP_SUL!AC379)</f>
        <v>ACIONAMENTO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46093</v>
      </c>
      <c r="D376" s="94" t="str">
        <f>IF(SP_SUL!D380="","*",SP_SUL!D380)</f>
        <v>W99</v>
      </c>
      <c r="E376" s="94" t="str">
        <f>IF(SP_SUL!H380="","*",SP_SUL!H380)</f>
        <v>ZEM1</v>
      </c>
      <c r="F376" s="100" t="str">
        <f>IF(SP_SUL!M380="","*",SP_SUL!M380)</f>
        <v>ZEJ-ZEV</v>
      </c>
      <c r="G376" s="95" t="str">
        <f>IF(SP_SUL!I380="","*",SP_SUL!I380)</f>
        <v xml:space="preserve">ZEM1 </v>
      </c>
      <c r="H376" s="95" t="str">
        <f>IF(SP_SUL!AB380="","*",SP_SUL!AB380)</f>
        <v>FIXO</v>
      </c>
      <c r="I376" s="95" t="str">
        <f>IF(SP_SUL!AC380="","*",SP_SUL!AC380)</f>
        <v>ACIONAMENTO</v>
      </c>
      <c r="J376" s="96">
        <f>IF(SP_SUL!AA380="","*",SP_SUL!AA380)</f>
        <v>1</v>
      </c>
      <c r="K376" s="97">
        <f>IF(SP_SUL!AD380="","*",SP_SUL!AD380)</f>
        <v>0.29166666666666669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46093</v>
      </c>
      <c r="D377" s="94" t="str">
        <f>IF(SP_SUL!D381="","*",SP_SUL!D381)</f>
        <v>V95</v>
      </c>
      <c r="E377" s="94" t="str">
        <f>IF(SP_SUL!H381="","*",SP_SUL!H381)</f>
        <v>ZEM1301</v>
      </c>
      <c r="F377" s="100" t="str">
        <f>IF(SP_SUL!M381="","*",SP_SUL!M381)</f>
        <v>ZEJ-ZEV</v>
      </c>
      <c r="G377" s="95" t="str">
        <f>IF(SP_SUL!I381="","*",SP_SUL!I381)</f>
        <v>ZEM1</v>
      </c>
      <c r="H377" s="95" t="str">
        <f>IF(SP_SUL!AB381="","*",SP_SUL!AB381)</f>
        <v>FIXO</v>
      </c>
      <c r="I377" s="95" t="str">
        <f>IF(SP_SUL!AC381="","*",SP_SUL!AC381)</f>
        <v>ACIONAMENTO</v>
      </c>
      <c r="J377" s="96">
        <f>IF(SP_SUL!AA381="","*",SP_SUL!AA381)</f>
        <v>1</v>
      </c>
      <c r="K377" s="97">
        <f>IF(SP_SUL!AD381="","*",SP_SUL!AD381)</f>
        <v>0.29166666666666669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46093</v>
      </c>
      <c r="D378" s="94" t="str">
        <f>IF(SP_SUL!D382="","*",SP_SUL!D382)</f>
        <v>W97</v>
      </c>
      <c r="E378" s="94" t="str">
        <f>IF(SP_SUL!H382="","*",SP_SUL!H382)</f>
        <v>Z3VZEV</v>
      </c>
      <c r="F378" s="100" t="str">
        <f>IF(SP_SUL!M382="","*",SP_SUL!M382)</f>
        <v>ZEJ-ZEV</v>
      </c>
      <c r="G378" s="95" t="str">
        <f>IF(SP_SUL!I382="","*",SP_SUL!I382)</f>
        <v>Z3VZEV</v>
      </c>
      <c r="H378" s="95" t="str">
        <f>IF(SP_SUL!AB382="","*",SP_SUL!AB382)</f>
        <v>FIXO</v>
      </c>
      <c r="I378" s="95" t="str">
        <f>IF(SP_SUL!AC382="","*",SP_SUL!AC382)</f>
        <v>ACIONAMENTO</v>
      </c>
      <c r="J378" s="96">
        <f>IF(SP_SUL!AA382="","*",SP_SUL!AA382)</f>
        <v>1</v>
      </c>
      <c r="K378" s="97">
        <f>IF(SP_SUL!AD382="","*",SP_SUL!AD382)</f>
        <v>0.29166666666666669</v>
      </c>
    </row>
    <row r="379" spans="2:11" hidden="1">
      <c r="B379" s="94" t="str">
        <f>IF(SP_SUL!Y383="","*",SP_SUL!Y383)</f>
        <v>OPORTUNIDADE</v>
      </c>
      <c r="C379" s="95">
        <f>IF(SP_SUL!B383="","*",SP_SUL!B383)</f>
        <v>46093</v>
      </c>
      <c r="D379" s="94" t="str">
        <f>IF(SP_SUL!D383="","*",SP_SUL!D383)</f>
        <v>V96</v>
      </c>
      <c r="E379" s="94" t="str">
        <f>IF(SP_SUL!H383="","*",SP_SUL!H383)</f>
        <v>Z3VZEV</v>
      </c>
      <c r="F379" s="100" t="str">
        <f>IF(SP_SUL!M383="","*",SP_SUL!M383)</f>
        <v>ZEJ-ZEV</v>
      </c>
      <c r="G379" s="95" t="str">
        <f>IF(SP_SUL!I383="","*",SP_SUL!I383)</f>
        <v>Z3VZEV</v>
      </c>
      <c r="H379" s="95" t="str">
        <f>IF(SP_SUL!AB383="","*",SP_SUL!AB383)</f>
        <v>FIXO</v>
      </c>
      <c r="I379" s="95" t="str">
        <f>IF(SP_SUL!AC383="","*",SP_SUL!AC383)</f>
        <v>ACIONAMENTO</v>
      </c>
      <c r="J379" s="96">
        <f>IF(SP_SUL!AA383="","*",SP_SUL!AA383)</f>
        <v>1</v>
      </c>
      <c r="K379" s="97">
        <f>IF(SP_SUL!AD383="","*",SP_SUL!AD383)</f>
        <v>0.29166666666666669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46093</v>
      </c>
      <c r="D380" s="94" t="str">
        <f>IF(SP_SUL!D384="","*",SP_SUL!D384)</f>
        <v>MODERNIZAÇÃO TURMA 2</v>
      </c>
      <c r="E380" s="94" t="str">
        <f>IF(SP_SUL!H384="","*",SP_SUL!H384)</f>
        <v>-</v>
      </c>
      <c r="F380" s="100" t="str">
        <f>IF(SP_SUL!M384="","*",SP_SUL!M384)</f>
        <v>ZEJ-ZEV</v>
      </c>
      <c r="G380" s="95" t="str">
        <f>IF(SP_SUL!I384="","*",SP_SUL!I384)</f>
        <v>-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-</v>
      </c>
      <c r="K380" s="97">
        <f>IF(SP_SUL!AD384="","*",SP_SUL!AD384)</f>
        <v>0.29166666666666669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e">
        <f>IF(SP_SUL!#REF!="","*",SP_SUL!#REF!)</f>
        <v>#REF!</v>
      </c>
      <c r="K381" s="97" t="str">
        <f>IF(SP_SUL!AD385="","*",SP_SUL!AD385)</f>
        <v>*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46093</v>
      </c>
      <c r="D382" s="94" t="str">
        <f>IF(SP_SUL!D386="","*",SP_SUL!D386)</f>
        <v>JACIANO (TF-674)</v>
      </c>
      <c r="E382" s="94" t="str">
        <f>IF(SP_SUL!H386="","*",SP_SUL!H386)</f>
        <v>-</v>
      </c>
      <c r="F382" s="100" t="str">
        <f>IF(SP_SUL!M386="","*",SP_SUL!M386)</f>
        <v>ZEZ-069</v>
      </c>
      <c r="G382" s="95" t="str">
        <f>IF(SP_SUL!I386="","*",SP_SUL!I386)</f>
        <v>-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IF(SP_SUL!AA385="","*",SP_SUL!AA385)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46093</v>
      </c>
      <c r="D383" s="94" t="str">
        <f>IF(SP_SUL!D387="","*",SP_SUL!D387)</f>
        <v>MODERNIZAÇÃO TURMA 2</v>
      </c>
      <c r="E383" s="94" t="str">
        <f>IF(SP_SUL!H387="","*",SP_SUL!H387)</f>
        <v>-</v>
      </c>
      <c r="F383" s="100" t="str">
        <f>IF(SP_SUL!M387="","*",SP_SUL!M387)</f>
        <v>ZXW-ZEZ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46093</v>
      </c>
      <c r="D384" s="94" t="str">
        <f>IF(SP_SUL!D388="","*",SP_SUL!D388)</f>
        <v>CARLOS (TP-722)</v>
      </c>
      <c r="E384" s="94" t="str">
        <f>IF(SP_SUL!H388="","*",SP_SUL!H388)</f>
        <v>-</v>
      </c>
      <c r="F384" s="100" t="str">
        <f>IF(SP_SUL!M388="","*",SP_SUL!M388)</f>
        <v>ZXW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OPORTUNIDADE</v>
      </c>
      <c r="C385" s="95">
        <f>IF(SP_SUL!B389="","*",SP_SUL!B389)</f>
        <v>46093</v>
      </c>
      <c r="D385" s="94" t="str">
        <f>IF(SP_SUL!D389="","*",SP_SUL!D389)</f>
        <v>RAFAEL (TP-695)</v>
      </c>
      <c r="E385" s="94" t="str">
        <f>IF(SP_SUL!H389="","*",SP_SUL!H389)</f>
        <v>-</v>
      </c>
      <c r="F385" s="100" t="str">
        <f>IF(SP_SUL!M389="","*",SP_SUL!M389)</f>
        <v>ZGP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-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46093</v>
      </c>
      <c r="D386" s="94" t="str">
        <f>IF(SP_SUL!D390="","*",SP_SUL!D390)</f>
        <v>MOD ZGP</v>
      </c>
      <c r="E386" s="94" t="str">
        <f>IF(SP_SUL!H390="","*",SP_SUL!H390)</f>
        <v>-</v>
      </c>
      <c r="F386" s="100" t="str">
        <f>IF(SP_SUL!M390="","*",SP_SUL!M390)</f>
        <v>ZGP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46093</v>
      </c>
      <c r="D387" s="94" t="str">
        <f>IF(SP_SUL!D391="","*",SP_SUL!D391)</f>
        <v>V85</v>
      </c>
      <c r="E387" s="94" t="str">
        <f>IF(SP_SUL!H391="","*",SP_SUL!H391)</f>
        <v>ZDRZPT</v>
      </c>
      <c r="F387" s="100" t="str">
        <f>IF(SP_SUL!M391="","*",SP_SUL!M391)</f>
        <v>ZGP</v>
      </c>
      <c r="G387" s="95" t="str">
        <f>IF(SP_SUL!I391="","*",SP_SUL!I391)</f>
        <v>ZDRZPT</v>
      </c>
      <c r="H387" s="95" t="str">
        <f>IF(SP_SUL!AB391="","*",SP_SUL!AB391)</f>
        <v>FIXO</v>
      </c>
      <c r="I387" s="95" t="str">
        <f>IF(SP_SUL!AC391="","*",SP_SUL!AC391)</f>
        <v>ACIONAMENTO</v>
      </c>
      <c r="J387" s="96">
        <f>IF(SP_SUL!AA391="","*",SP_SUL!AA391)</f>
        <v>1</v>
      </c>
      <c r="K387" s="97">
        <f>IF(SP_SUL!AD391="","*",SP_SUL!AD391)</f>
        <v>0.3125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46093</v>
      </c>
      <c r="D388" s="94" t="str">
        <f>IF(SP_SUL!D392="","*",SP_SUL!D392)</f>
        <v>W62</v>
      </c>
      <c r="E388" s="94" t="str">
        <f>IF(SP_SUL!H392="","*",SP_SUL!H392)</f>
        <v>ZDRZPT</v>
      </c>
      <c r="F388" s="100" t="str">
        <f>IF(SP_SUL!M392="","*",SP_SUL!M392)</f>
        <v>ZGP</v>
      </c>
      <c r="G388" s="95" t="str">
        <f>IF(SP_SUL!I392="","*",SP_SUL!I392)</f>
        <v>ZDRZPT</v>
      </c>
      <c r="H388" s="95" t="str">
        <f>IF(SP_SUL!AB392="","*",SP_SUL!AB392)</f>
        <v>FIXO</v>
      </c>
      <c r="I388" s="95" t="str">
        <f>IF(SP_SUL!AC392="","*",SP_SUL!AC392)</f>
        <v>ACIONAMENTO</v>
      </c>
      <c r="J388" s="96">
        <f>IF(SP_SUL!AA392="","*",SP_SUL!AA392)</f>
        <v>1</v>
      </c>
      <c r="K388" s="97">
        <f>IF(SP_SUL!AD392="","*",SP_SUL!AD392)</f>
        <v>0.3125</v>
      </c>
    </row>
    <row r="389" spans="2:11" hidden="1">
      <c r="B389" s="94" t="str">
        <f>IF(SP_SUL!Y393="","*",SP_SUL!Y393)</f>
        <v>OPORTUNIDADE</v>
      </c>
      <c r="C389" s="95">
        <f>IF(SP_SUL!B393="","*",SP_SUL!B393)</f>
        <v>46093</v>
      </c>
      <c r="D389" s="94" t="str">
        <f>IF(SP_SUL!D393="","*",SP_SUL!D393)</f>
        <v>HUELTON (TP-725)</v>
      </c>
      <c r="E389" s="94" t="str">
        <f>IF(SP_SUL!H393="","*",SP_SUL!H393)</f>
        <v>-</v>
      </c>
      <c r="F389" s="100" t="str">
        <f>IF(SP_SUL!M393="","*",SP_SUL!M393)</f>
        <v>ZPT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-</v>
      </c>
      <c r="K389" s="97" t="str">
        <f>IF(SP_SUL!AD393="","*",SP_SUL!AD393)</f>
        <v>*</v>
      </c>
    </row>
    <row r="390" spans="2:11" hidden="1">
      <c r="B390" s="94" t="str">
        <f>IF(SP_SUL!Y394="","*",SP_SUL!Y394)</f>
        <v>OPORTUNIDADE</v>
      </c>
      <c r="C390" s="95">
        <f>IF(SP_SUL!B394="","*",SP_SUL!B394)</f>
        <v>46093</v>
      </c>
      <c r="D390" s="94" t="str">
        <f>IF(SP_SUL!D394="","*",SP_SUL!D394)</f>
        <v>EXPANSÃO TURMA 1</v>
      </c>
      <c r="E390" s="94" t="str">
        <f>IF(SP_SUL!H394="","*",SP_SUL!H394)</f>
        <v>-</v>
      </c>
      <c r="F390" s="100" t="str">
        <f>IF(SP_SUL!M394="","*",SP_SUL!M394)</f>
        <v>ZGM-109</v>
      </c>
      <c r="G390" s="95" t="str">
        <f>IF(SP_SUL!I394="","*",SP_SUL!I394)</f>
        <v>-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OPORTUNIDADE</v>
      </c>
      <c r="C391" s="95">
        <f>IF(SP_SUL!B395="","*",SP_SUL!B395)</f>
        <v>46093</v>
      </c>
      <c r="D391" s="94" t="str">
        <f>IF(SP_SUL!D395="","*",SP_SUL!D395)</f>
        <v>DIEGO (TF-42)</v>
      </c>
      <c r="E391" s="94" t="str">
        <f>IF(SP_SUL!H395="","*",SP_SUL!H395)</f>
        <v>-</v>
      </c>
      <c r="F391" s="100" t="str">
        <f>IF(SP_SUL!M395="","*",SP_SUL!M395)</f>
        <v>ZGM-109</v>
      </c>
      <c r="G391" s="95" t="str">
        <f>IF(SP_SUL!I395="","*",SP_SUL!I395)</f>
        <v>-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-</v>
      </c>
      <c r="K391" s="97" t="str">
        <f>IF(SP_SUL!AD395="","*",SP_SUL!AD395)</f>
        <v>*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46093</v>
      </c>
      <c r="D392" s="94" t="str">
        <f>IF(SP_SUL!D396="","*",SP_SUL!D396)</f>
        <v>A84</v>
      </c>
      <c r="E392" s="94" t="str">
        <f>IF(SP_SUL!H396="","*",SP_SUL!H396)</f>
        <v>ZPT105-1</v>
      </c>
      <c r="F392" s="100" t="str">
        <f>IF(SP_SUL!M396="","*",SP_SUL!M396)</f>
        <v>ZPT-ZEV</v>
      </c>
      <c r="G392" s="95" t="str">
        <f>IF(SP_SUL!I396="","*",SP_SUL!I396)</f>
        <v>ZEV-1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C1" sqref="C1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9"/>
      <c r="B1" s="230"/>
      <c r="C1" s="23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2" t="s">
        <v>1009</v>
      </c>
      <c r="Q1" s="233"/>
      <c r="R1" s="111"/>
      <c r="S1" s="84"/>
      <c r="T1" s="86"/>
      <c r="U1" s="234" t="s">
        <v>1592</v>
      </c>
      <c r="V1" s="234"/>
      <c r="W1" s="234"/>
    </row>
    <row r="2" spans="1:23" ht="15" customHeight="1">
      <c r="A2" s="87" t="s">
        <v>1593</v>
      </c>
      <c r="B2" s="87" t="s">
        <v>1594</v>
      </c>
      <c r="C2" s="87" t="s">
        <v>376</v>
      </c>
      <c r="D2" s="88" t="s">
        <v>961</v>
      </c>
      <c r="E2" s="88" t="s">
        <v>4</v>
      </c>
      <c r="F2" s="88" t="s">
        <v>1595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1596</v>
      </c>
      <c r="T2" s="91" t="s">
        <v>964</v>
      </c>
      <c r="U2" s="138">
        <f ca="1">TODAY()-1</f>
        <v>46092</v>
      </c>
      <c r="V2" s="138">
        <f ca="1">U2-1</f>
        <v>46091</v>
      </c>
      <c r="W2" s="138">
        <f ca="1">V2-1</f>
        <v>46090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1860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60</v>
      </c>
      <c r="V4" s="137">
        <f ca="1">_xlfn.XLOOKUP(G4&amp;$V$2,BS_CONTROLE[CHAVE],BS_CONTROLE[Quantidade_11],"-")</f>
        <v>40</v>
      </c>
      <c r="W4" s="137">
        <f ca="1">_xlfn.XLOOKUP(G4&amp;$W$2,BS_CONTROLE[CHAVE],BS_CONTROLE[Quantidade_11],"-")</f>
        <v>82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940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0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1860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1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700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23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2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1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1750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60</v>
      </c>
      <c r="V27" s="137">
        <f ca="1">_xlfn.XLOOKUP(G27&amp;$V$2,BS_CONTROLE[CHAVE],BS_CONTROLE[Quantidade_11],"-")</f>
        <v>40</v>
      </c>
      <c r="W27" s="137">
        <f ca="1">_xlfn.XLOOKUP(G27&amp;$W$2,BS_CONTROLE[CHAVE],BS_CONTROLE[Quantidade_11],"-")</f>
        <v>82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312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103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2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60</v>
      </c>
      <c r="V43" s="137">
        <f ca="1">_xlfn.XLOOKUP(G43&amp;$V$2,BS_CONTROLE[CHAVE],BS_CONTROLE[Quantidade_11],"-")</f>
        <v>40</v>
      </c>
      <c r="W43" s="137">
        <f ca="1">_xlfn.XLOOKUP(G43&amp;$W$2,BS_CONTROLE[CHAVE],BS_CONTROLE[Quantidade_11],"-")</f>
        <v>82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700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1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1860</v>
      </c>
      <c r="W49" s="137">
        <f ca="1">_xlfn.XLOOKUP(G49&amp;$W$2,BS_CONTROLE[CHAVE],BS_CONTROLE[Quantidade_11],"-")</f>
        <v>1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101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940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1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312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23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1750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312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940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23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103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2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1750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60</v>
      </c>
      <c r="V86" s="137">
        <f ca="1">_xlfn.XLOOKUP(G86&amp;$V$2,BS_CONTROLE[CHAVE],BS_CONTROLE[Quantidade_11],"-")</f>
        <v>40</v>
      </c>
      <c r="W86" s="137">
        <f ca="1">_xlfn.XLOOKUP(G86&amp;$W$2,BS_CONTROLE[CHAVE],BS_CONTROLE[Quantidade_11],"-")</f>
        <v>82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700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1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1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1860</v>
      </c>
      <c r="W94" s="137">
        <f ca="1">_xlfn.XLOOKUP(G94&amp;$W$2,BS_CONTROLE[CHAVE],BS_CONTROLE[Quantidade_11],"-")</f>
        <v>1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101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1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312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105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1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940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23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2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103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101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1750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>
        <f ca="1">_xlfn.XLOOKUP(G126&amp;$W$2,BS_CONTROLE[CHAVE],BS_CONTROLE[Quantidade_11],"-")</f>
        <v>0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60</v>
      </c>
      <c r="V132" s="137">
        <f ca="1">_xlfn.XLOOKUP(G132&amp;$V$2,BS_CONTROLE[CHAVE],BS_CONTROLE[Quantidade_11],"-")</f>
        <v>40</v>
      </c>
      <c r="W132" s="137">
        <f ca="1">_xlfn.XLOOKUP(G132&amp;$W$2,BS_CONTROLE[CHAVE],BS_CONTROLE[Quantidade_11],"-")</f>
        <v>82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312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1860</v>
      </c>
      <c r="W140" s="137">
        <f ca="1">_xlfn.XLOOKUP(G140&amp;$W$2,BS_CONTROLE[CHAVE],BS_CONTROLE[Quantidade_11],"-")</f>
        <v>1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1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312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940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23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105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101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103</v>
      </c>
      <c r="V157" s="137">
        <f ca="1">_xlfn.XLOOKUP(G157&amp;$V$2,BS_CONTROLE[CHAVE],BS_CONTROLE[Quantidade_11],"-")</f>
        <v>0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1750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0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>
        <f ca="1">_xlfn.XLOOKUP(G169&amp;$V$2,BS_CONTROLE[CHAVE],BS_CONTROLE[Quantidade_11],"-")</f>
        <v>0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1860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60</v>
      </c>
      <c r="V174" s="137">
        <f ca="1">_xlfn.XLOOKUP(G174&amp;$V$2,BS_CONTROLE[CHAVE],BS_CONTROLE[Quantidade_11],"-")</f>
        <v>40</v>
      </c>
      <c r="W174" s="137">
        <f ca="1">_xlfn.XLOOKUP(G174&amp;$W$2,BS_CONTROLE[CHAVE],BS_CONTROLE[Quantidade_11],"-")</f>
        <v>82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1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312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1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312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105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23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940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1</v>
      </c>
      <c r="V190" s="137">
        <f ca="1">_xlfn.XLOOKUP(G190&amp;$V$2,BS_CONTROLE[CHAVE],BS_CONTROLE[Quantidade_11],"-")</f>
        <v>0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103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103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1750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2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1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0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>
        <f ca="1">_xlfn.XLOOKUP(G202&amp;$V$2,BS_CONTROLE[CHAVE],BS_CONTROLE[Quantidade_11],"-")</f>
        <v>0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>
        <f ca="1">_xlfn.XLOOKUP(G203&amp;$V$2,BS_CONTROLE[CHAVE],BS_CONTROLE[Quantidade_11],"-")</f>
        <v>0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1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700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1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1860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>
        <f ca="1">_xlfn.XLOOKUP(G224&amp;$W$2,BS_CONTROLE[CHAVE],BS_CONTROLE[Quantidade_11],"-")</f>
        <v>0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23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940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101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103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1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>
        <f ca="1">_xlfn.XLOOKUP(G242&amp;$V$2,BS_CONTROLE[CHAVE],BS_CONTROLE[Quantidade_11],"-")</f>
        <v>700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1860</v>
      </c>
      <c r="W245" s="137">
        <f ca="1">_xlfn.XLOOKUP(G245&amp;$W$2,BS_CONTROLE[CHAVE],BS_CONTROLE[Quantidade_11],"-")</f>
        <v>1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1860</v>
      </c>
      <c r="W252" s="137">
        <f ca="1">_xlfn.XLOOKUP(G252&amp;$W$2,BS_CONTROLE[CHAVE],BS_CONTROLE[Quantidade_11],"-")</f>
        <v>1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52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1</v>
      </c>
      <c r="V257" s="137" t="str">
        <f ca="1">_xlfn.XLOOKUP(G257&amp;$V$2,BS_CONTROLE[CHAVE],BS_CONTROLE[Quantidade_11],"-")</f>
        <v>-</v>
      </c>
      <c r="W257" s="137">
        <f ca="1">_xlfn.XLOOKUP(G257&amp;$W$2,BS_CONTROLE[CHAVE],BS_CONTROLE[Quantidade_11],"-")</f>
        <v>312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23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1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1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>
        <f ca="1">_xlfn.XLOOKUP(G263&amp;$V$2,BS_CONTROLE[CHAVE],BS_CONTROLE[Quantidade_11],"-")</f>
        <v>0</v>
      </c>
      <c r="W263" s="137">
        <f ca="1">_xlfn.XLOOKUP(G263&amp;$W$2,BS_CONTROLE[CHAVE],BS_CONTROLE[Quantidade_11],"-")</f>
        <v>940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60</v>
      </c>
      <c r="V267" s="137">
        <f ca="1">_xlfn.XLOOKUP(G267&amp;$V$2,BS_CONTROLE[CHAVE],BS_CONTROLE[Quantidade_11],"-")</f>
        <v>40</v>
      </c>
      <c r="W267" s="137">
        <f ca="1">_xlfn.XLOOKUP(G267&amp;$W$2,BS_CONTROLE[CHAVE],BS_CONTROLE[Quantidade_11],"-")</f>
        <v>82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2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1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>
        <f ca="1">_xlfn.XLOOKUP(G270&amp;$W$2,BS_CONTROLE[CHAVE],BS_CONTROLE[Quantidade_11],"-")</f>
        <v>1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101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103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1750</v>
      </c>
      <c r="V273" s="137">
        <f ca="1">_xlfn.XLOOKUP(G273&amp;$V$2,BS_CONTROLE[CHAVE],BS_CONTROLE[Quantidade_11],"-")</f>
        <v>0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>
        <f ca="1">_xlfn.XLOOKUP(G275&amp;$W$2,BS_CONTROLE[CHAVE],BS_CONTROLE[Quantidade_11],"-")</f>
        <v>0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>
        <f ca="1">_xlfn.XLOOKUP(G282&amp;$V$2,BS_CONTROLE[CHAVE],BS_CONTROLE[Quantidade_11],"-")</f>
        <v>700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1</v>
      </c>
      <c r="W283" s="137">
        <f ca="1">_xlfn.XLOOKUP(G283&amp;$W$2,BS_CONTROLE[CHAVE],BS_CONTROLE[Quantidade_11],"-")</f>
        <v>1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1860</v>
      </c>
      <c r="W286" s="137">
        <f ca="1">_xlfn.XLOOKUP(G286&amp;$W$2,BS_CONTROLE[CHAVE],BS_CONTROLE[Quantidade_11],"-")</f>
        <v>1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 t="str">
        <f ca="1">_xlfn.XLOOKUP(G287&amp;$U$2,BS_CONTROLE[CHAVE],BS_CONTROLE[Quantidade_11],"-")</f>
        <v>-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0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52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312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23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0</v>
      </c>
      <c r="W296" s="137">
        <f ca="1">_xlfn.XLOOKUP(G296&amp;$W$2,BS_CONTROLE[CHAVE],BS_CONTROLE[Quantidade_11],"-")</f>
        <v>1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 t="str">
        <f ca="1">_xlfn.XLOOKUP(G297&amp;$U$2,BS_CONTROLE[CHAVE],BS_CONTROLE[Quantidade_11],"-")</f>
        <v>-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940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>
        <f ca="1">_xlfn.XLOOKUP(G299&amp;$W$2,BS_CONTROLE[CHAVE],BS_CONTROLE[Quantidade_11],"-")</f>
        <v>0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60</v>
      </c>
      <c r="V300" s="137">
        <f ca="1">_xlfn.XLOOKUP(G300&amp;$V$2,BS_CONTROLE[CHAVE],BS_CONTROLE[Quantidade_11],"-")</f>
        <v>40</v>
      </c>
      <c r="W300" s="137">
        <f ca="1">_xlfn.XLOOKUP(G300&amp;$W$2,BS_CONTROLE[CHAVE],BS_CONTROLE[Quantidade_11],"-")</f>
        <v>82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1</v>
      </c>
      <c r="V301" s="137">
        <f ca="1">_xlfn.XLOOKUP(G301&amp;$V$2,BS_CONTROLE[CHAVE],BS_CONTROLE[Quantidade_11],"-")</f>
        <v>0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2</v>
      </c>
      <c r="V302" s="137">
        <f ca="1">_xlfn.XLOOKUP(G302&amp;$V$2,BS_CONTROLE[CHAVE],BS_CONTROLE[Quantidade_11],"-")</f>
        <v>0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1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103</v>
      </c>
      <c r="V304" s="137">
        <f ca="1">_xlfn.XLOOKUP(G304&amp;$V$2,BS_CONTROLE[CHAVE],BS_CONTROLE[Quantidade_11],"-")</f>
        <v>0</v>
      </c>
      <c r="W304" s="137">
        <f ca="1">_xlfn.XLOOKUP(G304&amp;$W$2,BS_CONTROLE[CHAVE],BS_CONTROLE[Quantidade_11],"-")</f>
        <v>0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103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1750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0</v>
      </c>
      <c r="V307" s="137">
        <f ca="1">_xlfn.XLOOKUP(G307&amp;$V$2,BS_CONTROLE[CHAVE],BS_CONTROLE[Quantidade_11],"-")</f>
        <v>1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>
        <f ca="1">_xlfn.XLOOKUP(G308&amp;$V$2,BS_CONTROLE[CHAVE],BS_CONTROLE[Quantidade_11],"-")</f>
        <v>0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>
        <f ca="1">_xlfn.XLOOKUP(G309&amp;$V$2,BS_CONTROLE[CHAVE],BS_CONTROLE[Quantidade_11],"-")</f>
        <v>0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0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>
        <f ca="1">_xlfn.XLOOKUP(G311&amp;$V$2,BS_CONTROLE[CHAVE],BS_CONTROLE[Quantidade_11],"-")</f>
        <v>0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>
        <f ca="1">_xlfn.XLOOKUP(G312&amp;$V$2,BS_CONTROLE[CHAVE],BS_CONTROLE[Quantidade_11],"-")</f>
        <v>0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>
        <f ca="1">_xlfn.XLOOKUP(G315&amp;$V$2,BS_CONTROLE[CHAVE],BS_CONTROLE[Quantidade_11],"-")</f>
        <v>1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700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1860</v>
      </c>
      <c r="W317" s="137">
        <f ca="1">_xlfn.XLOOKUP(G317&amp;$W$2,BS_CONTROLE[CHAVE],BS_CONTROLE[Quantidade_11],"-")</f>
        <v>1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0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>
        <f ca="1">_xlfn.XLOOKUP(G320&amp;$V$2,BS_CONTROLE[CHAVE],BS_CONTROLE[Quantidade_11],"-")</f>
        <v>1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1</v>
      </c>
      <c r="W321" s="137">
        <f ca="1">_xlfn.XLOOKUP(G321&amp;$W$2,BS_CONTROLE[CHAVE],BS_CONTROLE[Quantidade_11],"-")</f>
        <v>1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 t="str">
        <f ca="1">_xlfn.XLOOKUP(G322&amp;$U$2,BS_CONTROLE[CHAVE],BS_CONTROLE[Quantidade_11],"-")</f>
        <v>-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0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52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1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>
        <f ca="1">_xlfn.XLOOKUP(G327&amp;$W$2,BS_CONTROLE[CHAVE],BS_CONTROLE[Quantidade_11],"-")</f>
        <v>0</v>
      </c>
    </row>
    <row r="328" spans="1:23" hidden="1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>
        <f ca="1">_xlfn.XLOOKUP(G328&amp;$U$2,BS_CONTROLE[CHAVE],BS_CONTROLE[Quantidade_11],"-")</f>
        <v>1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312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0</v>
      </c>
      <c r="V329" s="137">
        <f ca="1">_xlfn.XLOOKUP(G329&amp;$V$2,BS_CONTROLE[CHAVE],BS_CONTROLE[Quantidade_11],"-")</f>
        <v>0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>
        <f ca="1">_xlfn.XLOOKUP(G330&amp;$U$2,BS_CONTROLE[CHAVE],BS_CONTROLE[Quantidade_11],"-")</f>
        <v>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0</v>
      </c>
      <c r="W332" s="137">
        <f ca="1">_xlfn.XLOOKUP(G332&amp;$W$2,BS_CONTROLE[CHAVE],BS_CONTROLE[Quantidade_11],"-")</f>
        <v>23</v>
      </c>
    </row>
    <row r="333" spans="1:23" hidden="1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0</v>
      </c>
      <c r="W333" s="137">
        <f ca="1">_xlfn.XLOOKUP(G333&amp;$W$2,BS_CONTROLE[CHAVE],BS_CONTROLE[Quantidade_11],"-")</f>
        <v>1</v>
      </c>
    </row>
    <row r="334" spans="1:23" hidden="1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 hidden="1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>
        <f ca="1">_xlfn.XLOOKUP(G335&amp;$W$2,BS_CONTROLE[CHAVE],BS_CONTROLE[Quantidade_11],"-")</f>
        <v>0</v>
      </c>
    </row>
    <row r="336" spans="1:23" hidden="1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>
        <f ca="1">_xlfn.XLOOKUP(G336&amp;$U$2,BS_CONTROLE[CHAVE],BS_CONTROLE[Quantidade_11],"-")</f>
        <v>105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2</v>
      </c>
      <c r="V338" s="137">
        <f ca="1">_xlfn.XLOOKUP(G338&amp;$V$2,BS_CONTROLE[CHAVE],BS_CONTROLE[Quantidade_11],"-")</f>
        <v>0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1</v>
      </c>
      <c r="V339" s="137">
        <f ca="1">_xlfn.XLOOKUP(G339&amp;$V$2,BS_CONTROLE[CHAVE],BS_CONTROLE[Quantidade_11],"-")</f>
        <v>0</v>
      </c>
      <c r="W339" s="137">
        <f ca="1">_xlfn.XLOOKUP(G339&amp;$W$2,BS_CONTROLE[CHAVE],BS_CONTROLE[Quantidade_11],"-")</f>
        <v>0</v>
      </c>
    </row>
    <row r="340" spans="1:23" hidden="1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1750</v>
      </c>
      <c r="V340" s="137">
        <f ca="1">_xlfn.XLOOKUP(G340&amp;$V$2,BS_CONTROLE[CHAVE],BS_CONTROLE[Quantidade_11],"-")</f>
        <v>0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>
        <f ca="1">_xlfn.XLOOKUP(G341&amp;$U$2,BS_CONTROLE[CHAVE],BS_CONTROLE[Quantidade_11],"-")</f>
        <v>1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>
        <f ca="1">_xlfn.XLOOKUP(G342&amp;$U$2,BS_CONTROLE[CHAVE],BS_CONTROLE[Quantidade_11],"-")</f>
        <v>1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1</v>
      </c>
      <c r="V343" s="137">
        <f ca="1">_xlfn.XLOOKUP(G343&amp;$V$2,BS_CONTROLE[CHAVE],BS_CONTROLE[Quantidade_11],"-")</f>
        <v>0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6.9444444444444447E-4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103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(TP-780)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6.9444444444444447E-4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>
        <f ca="1">_xlfn.XLOOKUP(G345&amp;$U$2,BS_CONTROLE[CHAVE],BS_CONTROLE[Quantidade_11],"-")</f>
        <v>101</v>
      </c>
      <c r="V345" s="137" t="str">
        <f ca="1">_xlfn.XLOOKUP(G345&amp;$V$2,BS_CONTROLE[CHAVE],BS_CONTROLE[Quantidade_11],"-")</f>
        <v>-</v>
      </c>
      <c r="W345" s="137">
        <f ca="1">_xlfn.XLOOKUP(G345&amp;$W$2,BS_CONTROLE[CHAVE],BS_CONTROLE[Quantidade_11],"-")</f>
        <v>0</v>
      </c>
    </row>
    <row r="346" spans="1:23" hidden="1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>
        <f ca="1">_xlfn.XLOOKUP(G348&amp;$U$2,BS_CONTROLE[CHAVE],BS_CONTROLE[Quantidade_11],"-")</f>
        <v>0</v>
      </c>
      <c r="V348" s="137" t="str">
        <f ca="1">_xlfn.XLOOKUP(G348&amp;$V$2,BS_CONTROLE[CHAVE],BS_CONTROLE[Quantidade_11],"-")</f>
        <v>-</v>
      </c>
      <c r="W348" s="137">
        <f ca="1">_xlfn.XLOOKUP(G348&amp;$W$2,BS_CONTROLE[CHAVE],BS_CONTROLE[Quantidade_11],"-")</f>
        <v>0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60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82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>
        <f ca="1">_xlfn.XLOOKUP(G350&amp;$U$2,BS_CONTROLE[CHAVE],BS_CONTROLE[Quantidade_11],"-")</f>
        <v>0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0</v>
      </c>
      <c r="V351" s="137">
        <f ca="1">_xlfn.XLOOKUP(G351&amp;$V$2,BS_CONTROLE[CHAVE],BS_CONTROLE[Quantidade_11],"-")</f>
        <v>1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>
        <f ca="1">_xlfn.XLOOKUP(G353&amp;$U$2,BS_CONTROLE[CHAVE],BS_CONTROLE[Quantidade_11],"-")</f>
        <v>0</v>
      </c>
      <c r="V353" s="137" t="str">
        <f ca="1">_xlfn.XLOOKUP(G353&amp;$V$2,BS_CONTROLE[CHAVE],BS_CONTROLE[Quantidade_11],"-")</f>
        <v>-</v>
      </c>
      <c r="W353" s="137">
        <f ca="1">_xlfn.XLOOKUP(G353&amp;$W$2,BS_CONTROLE[CHAVE],BS_CONTROLE[Quantidade_11],"-")</f>
        <v>0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52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1</v>
      </c>
      <c r="V355" s="137">
        <f ca="1">_xlfn.XLOOKUP(G355&amp;$V$2,BS_CONTROLE[CHAVE],BS_CONTROLE[Quantidade_11],"-")</f>
        <v>1860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0</v>
      </c>
    </row>
    <row r="358" spans="1:23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8.3333333333333329E-2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>
        <f ca="1">_xlfn.XLOOKUP(G358&amp;$U$2,BS_CONTROLE[CHAVE],BS_CONTROLE[Quantidade_11],"-")</f>
        <v>0</v>
      </c>
      <c r="V358" s="137">
        <f ca="1">_xlfn.XLOOKUP(G358&amp;$V$2,BS_CONTROLE[CHAVE],BS_CONTROLE[Quantidade_11],"-")</f>
        <v>0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ZBV-ZRX</v>
      </c>
      <c r="F359" s="145" t="str">
        <f>IF(SP_SUL!B362="","*",SP_SUL!B362)</f>
        <v>*</v>
      </c>
      <c r="G359" s="145" t="str">
        <f>IF(SP_SUL!D362="","*",SP_SUL!D362)</f>
        <v>A74</v>
      </c>
      <c r="H359" s="145" t="str">
        <f>IF(SP_SUL!F362="","*",SP_SUL!F362)</f>
        <v>DETECÇÃO - RONDA 7 DIAS</v>
      </c>
      <c r="I359" s="145" t="str">
        <f>IF(SP_SUL!H362="","*",SP_SUL!H362)</f>
        <v>ZBVZQB</v>
      </c>
      <c r="J359" s="145" t="str">
        <f>IF(SP_SUL!I362="","*",SP_SUL!I362)</f>
        <v>ZRX</v>
      </c>
      <c r="K359" s="139" t="str">
        <f>IF(SP_SUL!M362="","*",SP_SUL!M362)</f>
        <v>ZQBZBV-ZRX</v>
      </c>
      <c r="L359" s="139" t="str">
        <f>IF(SP_SUL!N362="","*",SP_SUL!N362)</f>
        <v>ZQBZBVZRX</v>
      </c>
      <c r="M359" s="140">
        <f>IF(SP_SUL!J362="","*",SP_SUL!J362)</f>
        <v>68</v>
      </c>
      <c r="N359" s="144">
        <f>IF(SP_SUL!K362="","*",SP_SUL!K362)</f>
        <v>52</v>
      </c>
      <c r="O359" s="144" t="str">
        <f>IF(SP_SUL!L362="","*",SP_SUL!L362)</f>
        <v>*</v>
      </c>
      <c r="P359" s="143">
        <f>IF(SP_SUL!O362="","*",SP_SUL!O362)</f>
        <v>0.33333333333333331</v>
      </c>
      <c r="Q359" s="143">
        <f>IF(SP_SUL!P362="","*",SP_SUL!P362)</f>
        <v>4.1666666666666664E-2</v>
      </c>
      <c r="R359" s="145" t="str">
        <f>IF(SP_SUL!Q362="","*",CONCATENATE(SP_SUL!Q362," ",SP_SUL!R362))</f>
        <v>60 KM</v>
      </c>
      <c r="S359" s="145" t="str">
        <f>IF(SP_SUL!V362="","*",SP_SUL!V362)</f>
        <v>Jhon</v>
      </c>
      <c r="T359" s="145" t="str">
        <f>IF(SP_SUL!W362="","*",SP_SUL!W362)</f>
        <v>R7D</v>
      </c>
      <c r="U359" s="137">
        <f ca="1">_xlfn.XLOOKUP(G359&amp;$U$2,BS_CONTROLE[CHAVE],BS_CONTROLE[Quantidade_11],"-")</f>
        <v>105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ZBV-ZKE</v>
      </c>
      <c r="F361" s="145">
        <f>IF(SP_SUL!B364="","*",SP_SUL!B364)</f>
        <v>46093</v>
      </c>
      <c r="G361" s="145" t="str">
        <f>IF(SP_SUL!D364="","*",SP_SUL!D364)</f>
        <v>W59</v>
      </c>
      <c r="H361" s="145" t="str">
        <f>IF(SP_SUL!F364="","*",SP_SUL!F364)</f>
        <v>PDM - DESCARGA - DORMENTE</v>
      </c>
      <c r="I361" s="145" t="str">
        <f>IF(SP_SUL!H364="","*",SP_SUL!H364)</f>
        <v>ZYU-1</v>
      </c>
      <c r="J361" s="145" t="str">
        <f>IF(SP_SUL!I364="","*",SP_SUL!I364)</f>
        <v>ZYU-1</v>
      </c>
      <c r="K361" s="139" t="str">
        <f>IF(SP_SUL!M364="","*",SP_SUL!M364)</f>
        <v>ZQB-ZBV</v>
      </c>
      <c r="L361" s="139" t="str">
        <f>IF(SP_SUL!N364="","*",SP_SUL!N364)</f>
        <v>ZQBZBL</v>
      </c>
      <c r="M361" s="140">
        <f>IF(SP_SUL!J364="","*",SP_SUL!J364)</f>
        <v>56</v>
      </c>
      <c r="N361" s="144">
        <f>IF(SP_SUL!K364="","*",SP_SUL!K364)</f>
        <v>253.7</v>
      </c>
      <c r="O361" s="144">
        <f>IF(SP_SUL!L364="","*",SP_SUL!L364)</f>
        <v>252.042</v>
      </c>
      <c r="P361" s="143">
        <f>IF(SP_SUL!O364="","*",SP_SUL!O364)</f>
        <v>0.33333333333333331</v>
      </c>
      <c r="Q361" s="143">
        <f>IF(SP_SUL!P364="","*",SP_SUL!P364)</f>
        <v>6.25E-2</v>
      </c>
      <c r="R361" s="145" t="str">
        <f>IF(SP_SUL!Q364="","*",CONCATENATE(SP_SUL!Q364," ",SP_SUL!R364))</f>
        <v>567 Nº DE DORMENTES</v>
      </c>
      <c r="S361" s="145" t="str">
        <f>IF(SP_SUL!V364="","*",SP_SUL!V364)</f>
        <v>Jonas</v>
      </c>
      <c r="T361" s="145" t="str">
        <f>IF(SP_SUL!W364="","*",SP_SUL!W364)</f>
        <v xml:space="preserve">PDM - Descarga de dormentes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1</v>
      </c>
    </row>
    <row r="362" spans="1:23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ZBV-ZKE</v>
      </c>
      <c r="F362" s="145">
        <f>IF(SP_SUL!B365="","*",SP_SUL!B365)</f>
        <v>46093</v>
      </c>
      <c r="G362" s="145" t="str">
        <f>IF(SP_SUL!D365="","*",SP_SUL!D365)</f>
        <v>JOSÉ (TP-879)</v>
      </c>
      <c r="H362" s="145" t="str">
        <f>IF(SP_SUL!F365="","*",SP_SUL!F365)</f>
        <v>PDM - SUBSTITUIÇÃO - DORMENTE</v>
      </c>
      <c r="I362" s="145" t="str">
        <f>IF(SP_SUL!H365="","*",SP_SUL!H365)</f>
        <v>-</v>
      </c>
      <c r="J362" s="145" t="str">
        <f>IF(SP_SUL!I365="","*",SP_SUL!I365)</f>
        <v>*</v>
      </c>
      <c r="K362" s="139" t="str">
        <f>IF(SP_SUL!M365="","*",SP_SUL!M365)</f>
        <v>ZQB-ZBV</v>
      </c>
      <c r="L362" s="139" t="str">
        <f>IF(SP_SUL!N365="","*",SP_SUL!N365)</f>
        <v>ZQBZBL</v>
      </c>
      <c r="M362" s="140">
        <f>IF(SP_SUL!J365="","*",SP_SUL!J365)</f>
        <v>56</v>
      </c>
      <c r="N362" s="144">
        <f>IF(SP_SUL!K365="","*",SP_SUL!K365)</f>
        <v>253.7</v>
      </c>
      <c r="O362" s="144" t="str">
        <f>IF(SP_SUL!L365="","*",SP_SUL!L365)</f>
        <v>-</v>
      </c>
      <c r="P362" s="143">
        <f>IF(SP_SUL!O365="","*",SP_SUL!O365)</f>
        <v>0.375</v>
      </c>
      <c r="Q362" s="143">
        <f>IF(SP_SUL!P365="","*",SP_SUL!P365)</f>
        <v>6.25E-2</v>
      </c>
      <c r="R362" s="145" t="str">
        <f>IF(SP_SUL!Q365="","*",CONCATENATE(SP_SUL!Q365," ",SP_SUL!R365))</f>
        <v>30 Nº DE DORMENTES</v>
      </c>
      <c r="S362" s="145" t="str">
        <f>IF(SP_SUL!V365="","*",SP_SUL!V365)</f>
        <v>Jonas</v>
      </c>
      <c r="T362" s="145" t="str">
        <f>IF(SP_SUL!W365="","*",SP_SUL!W365)</f>
        <v>PDM - Substituição de dormentes</v>
      </c>
      <c r="U362" s="137">
        <f ca="1">_xlfn.XLOOKUP(G362&amp;$U$2,BS_CONTROLE[CHAVE],BS_CONTROLE[Quantidade_11],"-")</f>
        <v>0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ZBV-ZKE</v>
      </c>
      <c r="F363" s="145">
        <f>IF(SP_SUL!B366="","*",SP_SUL!B366)</f>
        <v>46093</v>
      </c>
      <c r="G363" s="145" t="str">
        <f>IF(SP_SUL!D366="","*",SP_SUL!D366)</f>
        <v>EDSON/NIVALDO (TP-819)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-</v>
      </c>
      <c r="K363" s="139" t="str">
        <f>IF(SP_SUL!M366="","*",SP_SUL!M366)</f>
        <v>ZXI-ZVK</v>
      </c>
      <c r="L363" s="139" t="str">
        <f>IF(SP_SUL!N366="","*",SP_SUL!N366)</f>
        <v>224ZIC1</v>
      </c>
      <c r="M363" s="140">
        <f>IF(SP_SUL!J366="","*",SP_SUL!J366)</f>
        <v>49</v>
      </c>
      <c r="N363" s="144">
        <f>IF(SP_SUL!K366="","*",SP_SUL!K366)</f>
        <v>224.45</v>
      </c>
      <c r="O363" s="144" t="str">
        <f>IF(SP_SUL!L366="","*",SP_SUL!L366)</f>
        <v>-</v>
      </c>
      <c r="P363" s="143">
        <f>IF(SP_SUL!O366="","*",SP_SUL!O366)</f>
        <v>0.375</v>
      </c>
      <c r="Q363" s="143">
        <f>IF(SP_SUL!P366="","*",SP_SUL!P366)</f>
        <v>6.25E-2</v>
      </c>
      <c r="R363" s="145" t="str">
        <f>IF(SP_SUL!Q366="","*",CONCATENATE(SP_SUL!Q366," ",SP_SUL!R366))</f>
        <v>40 Nº DE DORMENTES</v>
      </c>
      <c r="S363" s="145" t="str">
        <f>IF(SP_SUL!V366="","*",SP_SUL!V366)</f>
        <v>Jonas</v>
      </c>
      <c r="T363" s="145" t="str">
        <f>IF(SP_SUL!W366="","*",SP_SUL!W366)</f>
        <v>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>
      <c r="A364" s="146" t="str">
        <f>IF(SP_SUL!Y367="","*",SP_SUL!Y367)</f>
        <v>OPORTUNIDADE</v>
      </c>
      <c r="B364" s="146" t="str">
        <f>IF(SP_SUL!X367="","*",SP_SUL!X367)</f>
        <v>Oportunidade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ZBV-ZKE</v>
      </c>
      <c r="F364" s="145">
        <f>IF(SP_SUL!B367="","*",SP_SUL!B367)</f>
        <v>46093</v>
      </c>
      <c r="G364" s="145" t="str">
        <f>IF(SP_SUL!D367="","*",SP_SUL!D367)</f>
        <v>ROGÉRIO (TP-730)</v>
      </c>
      <c r="H364" s="145" t="str">
        <f>IF(SP_SUL!F367="","*",SP_SUL!F367)</f>
        <v>PDM - SUBSTITUIÇÃO - DORMENTE</v>
      </c>
      <c r="I364" s="145" t="str">
        <f>IF(SP_SUL!H367="","*",SP_SUL!H367)</f>
        <v>ZYU1</v>
      </c>
      <c r="J364" s="145" t="str">
        <f>IF(SP_SUL!I367="","*",SP_SUL!I367)</f>
        <v>-</v>
      </c>
      <c r="K364" s="139" t="str">
        <f>IF(SP_SUL!M367="","*",SP_SUL!M367)</f>
        <v>ZYU</v>
      </c>
      <c r="L364" s="139" t="str">
        <f>IF(SP_SUL!N367="","*",SP_SUL!N367)</f>
        <v>ZYU1</v>
      </c>
      <c r="M364" s="140">
        <f>IF(SP_SUL!J367="","*",SP_SUL!J367)</f>
        <v>49</v>
      </c>
      <c r="N364" s="144">
        <f>IF(SP_SUL!K367="","*",SP_SUL!K367)</f>
        <v>202.45</v>
      </c>
      <c r="O364" s="144" t="str">
        <f>IF(SP_SUL!L367="","*",SP_SUL!L367)</f>
        <v>-</v>
      </c>
      <c r="P364" s="143">
        <f>IF(SP_SUL!O367="","*",SP_SUL!O367)</f>
        <v>0.375</v>
      </c>
      <c r="Q364" s="143">
        <f>IF(SP_SUL!P367="","*",SP_SUL!P367)</f>
        <v>6.25E-2</v>
      </c>
      <c r="R364" s="145" t="str">
        <f>IF(SP_SUL!Q367="","*",CONCATENATE(SP_SUL!Q367," ",SP_SUL!R367))</f>
        <v>40 Nº DE DORMENTES</v>
      </c>
      <c r="S364" s="145" t="str">
        <f>IF(SP_SUL!V367="","*",SP_SUL!V367)</f>
        <v>Jonas</v>
      </c>
      <c r="T364" s="145" t="str">
        <f>IF(SP_SUL!W367="","*",SP_SUL!W367)</f>
        <v>Substituição de dormentes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23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ZBV-ZKE</v>
      </c>
      <c r="F365" s="145" t="str">
        <f>IF(SP_SUL!B368="","*",SP_SUL!B368)</f>
        <v>*</v>
      </c>
      <c r="G365" s="145" t="str">
        <f>IF(SP_SUL!D368="","*",SP_SUL!D368)</f>
        <v>V93</v>
      </c>
      <c r="H365" s="145" t="str">
        <f>IF(SP_SUL!F368="","*",SP_SUL!F368)</f>
        <v>MECANIZAÇÃO - SOCADORA</v>
      </c>
      <c r="I365" s="145" t="str">
        <f>IF(SP_SUL!H368="","*",SP_SUL!H368)</f>
        <v>ZXP-2</v>
      </c>
      <c r="J365" s="145" t="str">
        <f>IF(SP_SUL!I368="","*",SP_SUL!I368)</f>
        <v>ZXP-2</v>
      </c>
      <c r="K365" s="139" t="str">
        <f>IF(SP_SUL!M368="","*",SP_SUL!M368)</f>
        <v>ZXP-ZFY</v>
      </c>
      <c r="L365" s="139" t="str">
        <f>IF(SP_SUL!N368="","*",SP_SUL!N368)</f>
        <v>189ZFY/ZXP189</v>
      </c>
      <c r="M365" s="140">
        <f>IF(SP_SUL!J368="","*",SP_SUL!J368)</f>
        <v>56</v>
      </c>
      <c r="N365" s="144">
        <f>IF(SP_SUL!K368="","*",SP_SUL!K368)</f>
        <v>190.07</v>
      </c>
      <c r="O365" s="144">
        <f>IF(SP_SUL!L368="","*",SP_SUL!L368)</f>
        <v>188</v>
      </c>
      <c r="P365" s="143">
        <f>IF(SP_SUL!O368="","*",SP_SUL!O368)</f>
        <v>0.39583333333333331</v>
      </c>
      <c r="Q365" s="143">
        <f>IF(SP_SUL!P368="","*",SP_SUL!P368)</f>
        <v>8.3333333333333329E-2</v>
      </c>
      <c r="R365" s="145" t="str">
        <f>IF(SP_SUL!Q368="","*",CONCATENATE(SP_SUL!Q368," ",SP_SUL!R368))</f>
        <v>200 M</v>
      </c>
      <c r="S365" s="145" t="str">
        <f>IF(SP_SUL!V368="","*",SP_SUL!V368)</f>
        <v>Moises</v>
      </c>
      <c r="T365" s="145" t="str">
        <f>IF(SP_SUL!W368="","*",SP_SUL!W368)</f>
        <v>Socaria mecanizada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0</v>
      </c>
      <c r="W365" s="137">
        <f ca="1">_xlfn.XLOOKUP(G365&amp;$W$2,BS_CONTROLE[CHAVE],BS_CONTROLE[Quantidade_11],"-")</f>
        <v>940</v>
      </c>
    </row>
    <row r="366" spans="1:23">
      <c r="A366" s="146" t="str">
        <f>IF(SP_SUL!Y369="","*",SP_SUL!Y369)</f>
        <v>OPORTUNIDADE</v>
      </c>
      <c r="B366" s="146" t="str">
        <f>IF(SP_SUL!X369="","*",SP_SUL!X369)</f>
        <v>Oportunidade</v>
      </c>
      <c r="C366" s="146" t="str">
        <f>IF(SP_SUL!Z369="","*",SP_SUL!Z369)</f>
        <v>*</v>
      </c>
      <c r="D366" s="139" t="str">
        <f>IF(SP_SUL!S369="","*",SP_SUL!S369)</f>
        <v>SP SUL</v>
      </c>
      <c r="E366" s="139" t="str">
        <f>IF(SP_SUL!T369="","*",SP_SUL!T369)</f>
        <v>ZBV-ZKE</v>
      </c>
      <c r="F366" s="145">
        <f>IF(SP_SUL!B369="","*",SP_SUL!B369)</f>
        <v>46093</v>
      </c>
      <c r="G366" s="145" t="str">
        <f>IF(SP_SUL!D369="","*",SP_SUL!D369)</f>
        <v>ROBSON (TF-701)</v>
      </c>
      <c r="H366" s="145" t="str">
        <f>IF(SP_SUL!F369="","*",SP_SUL!F369)</f>
        <v>LIMPEZA LASTRO</v>
      </c>
      <c r="I366" s="145" t="str">
        <f>IF(SP_SUL!H369="","*",SP_SUL!H369)</f>
        <v>ZXP189</v>
      </c>
      <c r="J366" s="145" t="str">
        <f>IF(SP_SUL!I369="","*",SP_SUL!I369)</f>
        <v>-</v>
      </c>
      <c r="K366" s="139" t="str">
        <f>IF(SP_SUL!M369="","*",SP_SUL!M369)</f>
        <v>ZXP-ZFY</v>
      </c>
      <c r="L366" s="139" t="str">
        <f>IF(SP_SUL!N369="","*",SP_SUL!N369)</f>
        <v>ZXP189</v>
      </c>
      <c r="M366" s="140">
        <f>IF(SP_SUL!J369="","*",SP_SUL!J369)</f>
        <v>56</v>
      </c>
      <c r="N366" s="144">
        <f>IF(SP_SUL!K369="","*",SP_SUL!K369)</f>
        <v>187.58</v>
      </c>
      <c r="O366" s="144" t="str">
        <f>IF(SP_SUL!L369="","*",SP_SUL!L369)</f>
        <v>-</v>
      </c>
      <c r="P366" s="143">
        <f>IF(SP_SUL!O369="","*",SP_SUL!O369)</f>
        <v>0.41666666666666669</v>
      </c>
      <c r="Q366" s="143">
        <f>IF(SP_SUL!P369="","*",SP_SUL!P369)</f>
        <v>6.25E-2</v>
      </c>
      <c r="R366" s="145" t="str">
        <f>IF(SP_SUL!Q369="","*",CONCATENATE(SP_SUL!Q369," ",SP_SUL!R369))</f>
        <v>15 M</v>
      </c>
      <c r="S366" s="145" t="str">
        <f>IF(SP_SUL!V369="","*",SP_SUL!V369)</f>
        <v>Jonas</v>
      </c>
      <c r="T366" s="145" t="str">
        <f>IF(SP_SUL!W369="","*",SP_SUL!W369)</f>
        <v>Limpeza de lastro</v>
      </c>
      <c r="U366" s="137">
        <f ca="1">_xlfn.XLOOKUP(G366&amp;$U$2,BS_CONTROLE[CHAVE],BS_CONTROLE[Quantidade_11],"-")</f>
        <v>0</v>
      </c>
      <c r="V366" s="137">
        <f ca="1">_xlfn.XLOOKUP(G366&amp;$V$2,BS_CONTROLE[CHAVE],BS_CONTROLE[Quantidade_11],"-")</f>
        <v>0</v>
      </c>
      <c r="W366" s="137">
        <f ca="1">_xlfn.XLOOKUP(G366&amp;$W$2,BS_CONTROLE[CHAVE],BS_CONTROLE[Quantidade_11],"-")</f>
        <v>0</v>
      </c>
    </row>
    <row r="367" spans="1:23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46093</v>
      </c>
      <c r="G367" s="145" t="str">
        <f>IF(SP_SUL!D370="","*",SP_SUL!D370)</f>
        <v>CARLOS (TP-722)</v>
      </c>
      <c r="H367" s="145" t="str">
        <f>IF(SP_SUL!F370="","*",SP_SUL!F370)</f>
        <v>PDM - SOLDA</v>
      </c>
      <c r="I367" s="145" t="str">
        <f>IF(SP_SUL!H370="","*",SP_SUL!H370)</f>
        <v>-</v>
      </c>
      <c r="J367" s="145" t="str">
        <f>IF(SP_SUL!I370="","*",SP_SUL!I370)</f>
        <v>-</v>
      </c>
      <c r="K367" s="139" t="str">
        <f>IF(SP_SUL!M370="","*",SP_SUL!M370)</f>
        <v>ZPS-ZCX</v>
      </c>
      <c r="L367" s="139" t="str">
        <f>IF(SP_SUL!N370="","*",SP_SUL!N370)</f>
        <v>ZPSZCX</v>
      </c>
      <c r="M367" s="140">
        <f>IF(SP_SUL!J370="","*",SP_SUL!J370)</f>
        <v>56</v>
      </c>
      <c r="N367" s="144">
        <f>IF(SP_SUL!K370="","*",SP_SUL!K370)</f>
        <v>158.4</v>
      </c>
      <c r="O367" s="144" t="str">
        <f>IF(SP_SUL!L370="","*",SP_SUL!L370)</f>
        <v>-</v>
      </c>
      <c r="P367" s="143">
        <f>IF(SP_SUL!O370="","*",SP_SUL!O370)</f>
        <v>0.375</v>
      </c>
      <c r="Q367" s="143">
        <f>IF(SP_SUL!P370="","*",SP_SUL!P370)</f>
        <v>6.25E-2</v>
      </c>
      <c r="R367" s="145" t="str">
        <f>IF(SP_SUL!Q370="","*",CONCATENATE(SP_SUL!Q370," ",SP_SUL!R370))</f>
        <v>1 Nº DE SOLDA</v>
      </c>
      <c r="S367" s="145" t="str">
        <f>IF(SP_SUL!V370="","*",SP_SUL!V370)</f>
        <v>Jonas</v>
      </c>
      <c r="T367" s="145" t="str">
        <f>IF(SP_SUL!W370="","*",SP_SUL!W370)</f>
        <v xml:space="preserve">Execução de solda - Condicionado a temperatura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OPORTUNIDADE</v>
      </c>
      <c r="B369" s="146" t="str">
        <f>IF(SP_SUL!X372="","*",SP_SUL!X372)</f>
        <v>Oportunidade</v>
      </c>
      <c r="C369" s="146" t="str">
        <f>IF(SP_SUL!Z372="","*",SP_SUL!Z372)</f>
        <v>*</v>
      </c>
      <c r="D369" s="139" t="str">
        <f>IF(SP_SUL!S372="","*",SP_SUL!S372)</f>
        <v>SP SUL</v>
      </c>
      <c r="E369" s="139" t="str">
        <f>IF(SP_SUL!T372="","*",SP_SUL!T372)</f>
        <v>ZKE-ZEV</v>
      </c>
      <c r="F369" s="145">
        <f>IF(SP_SUL!B372="","*",SP_SUL!B372)</f>
        <v>46093</v>
      </c>
      <c r="G369" s="145" t="str">
        <f>IF(SP_SUL!D372="","*",SP_SUL!D372)</f>
        <v>E17</v>
      </c>
      <c r="H369" s="145" t="str">
        <f>IF(SP_SUL!F372="","*",SP_SUL!F372)</f>
        <v>CAMINHÃO DE SOLDA</v>
      </c>
      <c r="I369" s="145" t="str">
        <f>IF(SP_SUL!H372="","*",SP_SUL!H372)</f>
        <v>102ZKW-2</v>
      </c>
      <c r="J369" s="145" t="str">
        <f>IF(SP_SUL!I372="","*",SP_SUL!I372)</f>
        <v>102ZKW-2</v>
      </c>
      <c r="K369" s="139" t="str">
        <f>IF(SP_SUL!M372="","*",SP_SUL!M372)</f>
        <v>ZLU</v>
      </c>
      <c r="L369" s="139" t="str">
        <f>IF(SP_SUL!N372="","*",SP_SUL!N372)</f>
        <v>ZLU1052</v>
      </c>
      <c r="M369" s="140">
        <f>IF(SP_SUL!J372="","*",SP_SUL!J372)</f>
        <v>55</v>
      </c>
      <c r="N369" s="144">
        <f>IF(SP_SUL!K372="","*",SP_SUL!K372)</f>
        <v>106.432</v>
      </c>
      <c r="O369" s="144">
        <f>IF(SP_SUL!L372="","*",SP_SUL!L372)</f>
        <v>106.75</v>
      </c>
      <c r="P369" s="143">
        <f>IF(SP_SUL!O372="","*",SP_SUL!O372)</f>
        <v>0.375</v>
      </c>
      <c r="Q369" s="143">
        <f>IF(SP_SUL!P372="","*",SP_SUL!P372)</f>
        <v>0.125</v>
      </c>
      <c r="R369" s="145" t="str">
        <f>IF(SP_SUL!Q372="","*",CONCATENATE(SP_SUL!Q372," ",SP_SUL!R372))</f>
        <v>2 Nº DE SOLDA</v>
      </c>
      <c r="S369" s="145" t="str">
        <f>IF(SP_SUL!V372="","*",SP_SUL!V372)</f>
        <v>Cazonatto</v>
      </c>
      <c r="T369" s="145" t="str">
        <f>IF(SP_SUL!W372="","*",SP_SUL!W372)</f>
        <v>Caminhão de solda</v>
      </c>
      <c r="U369" s="137">
        <f ca="1">_xlfn.XLOOKUP(G369&amp;$U$2,BS_CONTROLE[CHAVE],BS_CONTROLE[Quantidade_11],"-")</f>
        <v>0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ZKE-ZEV</v>
      </c>
      <c r="F370" s="145">
        <f>IF(SP_SUL!B373="","*",SP_SUL!B373)</f>
        <v>46093</v>
      </c>
      <c r="G370" s="145" t="str">
        <f>IF(SP_SUL!D373="","*",SP_SUL!D373)</f>
        <v>W60</v>
      </c>
      <c r="H370" s="145" t="str">
        <f>IF(SP_SUL!F373="","*",SP_SUL!F373)</f>
        <v>RECOLHIMENTO DE MATERIAL</v>
      </c>
      <c r="I370" s="145" t="str">
        <f>IF(SP_SUL!H373="","*",SP_SUL!H373)</f>
        <v>ZEM130-2</v>
      </c>
      <c r="J370" s="145" t="str">
        <f>IF(SP_SUL!I373="","*",SP_SUL!I373)</f>
        <v>ZEM130-2</v>
      </c>
      <c r="K370" s="139" t="str">
        <f>IF(SP_SUL!M373="","*",SP_SUL!M373)</f>
        <v>ZWI-ZYQ</v>
      </c>
      <c r="L370" s="139">
        <f>IF(SP_SUL!N373="","*",SP_SUL!N373)</f>
        <v>1251242</v>
      </c>
      <c r="M370" s="140">
        <f>IF(SP_SUL!J373="","*",SP_SUL!J373)</f>
        <v>55</v>
      </c>
      <c r="N370" s="144">
        <f>IF(SP_SUL!K373="","*",SP_SUL!K373)</f>
        <v>124.5</v>
      </c>
      <c r="O370" s="144" t="str">
        <f>IF(SP_SUL!L373="","*",SP_SUL!L373)</f>
        <v>-</v>
      </c>
      <c r="P370" s="143">
        <f>IF(SP_SUL!O373="","*",SP_SUL!O373)</f>
        <v>0.35416666666666669</v>
      </c>
      <c r="Q370" s="143">
        <f>IF(SP_SUL!P373="","*",SP_SUL!P373)</f>
        <v>2.7777777777777776E-2</v>
      </c>
      <c r="R370" s="145" t="str">
        <f>IF(SP_SUL!Q373="","*",CONCATENATE(SP_SUL!Q373," ",SP_SUL!R373))</f>
        <v>1 BINÁRIO</v>
      </c>
      <c r="S370" s="145" t="str">
        <f>IF(SP_SUL!V373="","*",SP_SUL!V373)</f>
        <v>Felipe</v>
      </c>
      <c r="T370" s="145" t="str">
        <f>IF(SP_SUL!W373="","*",SP_SUL!W373)</f>
        <v>Recolhimeno de tampão</v>
      </c>
      <c r="U370" s="137">
        <f ca="1">_xlfn.XLOOKUP(G370&amp;$U$2,BS_CONTROLE[CHAVE],BS_CONTROLE[Quantidade_11],"-")</f>
        <v>1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ZKE-ZEV</v>
      </c>
      <c r="F371" s="145">
        <f>IF(SP_SUL!B374="","*",SP_SUL!B374)</f>
        <v>46093</v>
      </c>
      <c r="G371" s="145" t="str">
        <f>IF(SP_SUL!D374="","*",SP_SUL!D374)</f>
        <v>EDSON (TP-719)</v>
      </c>
      <c r="H371" s="145" t="str">
        <f>IF(SP_SUL!F374="","*",SP_SUL!F374)</f>
        <v>PDM - DESCARGA - DORMENTE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ZYQ-ZEM</v>
      </c>
      <c r="L371" s="139" t="str">
        <f>IF(SP_SUL!N374="","*",SP_SUL!N374)</f>
        <v>130ZYQ2</v>
      </c>
      <c r="M371" s="140">
        <f>IF(SP_SUL!J374="","*",SP_SUL!J374)</f>
        <v>55</v>
      </c>
      <c r="N371" s="144">
        <f>IF(SP_SUL!K374="","*",SP_SUL!K374)</f>
        <v>129.16999999999999</v>
      </c>
      <c r="O371" s="144">
        <f>IF(SP_SUL!L374="","*",SP_SUL!L374)</f>
        <v>129.61099999999999</v>
      </c>
      <c r="P371" s="143">
        <f>IF(SP_SUL!O374="","*",SP_SUL!O374)</f>
        <v>0.375</v>
      </c>
      <c r="Q371" s="143">
        <f>IF(SP_SUL!P374="","*",SP_SUL!P374)</f>
        <v>8.3333333333333329E-2</v>
      </c>
      <c r="R371" s="145" t="str">
        <f>IF(SP_SUL!Q374="","*",CONCATENATE(SP_SUL!Q374," ",SP_SUL!R374))</f>
        <v>30 Nº DE DORMENTES</v>
      </c>
      <c r="S371" s="145" t="str">
        <f>IF(SP_SUL!V374="","*",SP_SUL!V374)</f>
        <v>Felipe</v>
      </c>
      <c r="T371" s="145" t="str">
        <f>IF(SP_SUL!W374="","*",SP_SUL!W374)</f>
        <v>Substituição de dormentes</v>
      </c>
      <c r="U371" s="137">
        <f ca="1">_xlfn.XLOOKUP(G371&amp;$U$2,BS_CONTROLE[CHAVE],BS_CONTROLE[Quantidade_11],"-")</f>
        <v>103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>
      <c r="A372" s="146" t="str">
        <f>IF(SP_SUL!Y375="","*",SP_SUL!Y375)</f>
        <v>OPORTUNIDADE</v>
      </c>
      <c r="B372" s="146" t="str">
        <f>IF(SP_SUL!X375="","*",SP_SUL!X375)</f>
        <v>Oportunidade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ZKE-ZEV</v>
      </c>
      <c r="F372" s="145">
        <f>IF(SP_SUL!B375="","*",SP_SUL!B375)</f>
        <v>46093</v>
      </c>
      <c r="G372" s="145" t="str">
        <f>IF(SP_SUL!D375="","*",SP_SUL!D375)</f>
        <v>EDSON (TP-719)</v>
      </c>
      <c r="H372" s="145" t="str">
        <f>IF(SP_SUL!F375="","*",SP_SUL!F375)</f>
        <v>PDM - DESCARGA - DORMENTE</v>
      </c>
      <c r="I372" s="145" t="str">
        <f>IF(SP_SUL!H375="","*",SP_SUL!H375)</f>
        <v>-</v>
      </c>
      <c r="J372" s="145" t="str">
        <f>IF(SP_SUL!I375="","*",SP_SUL!I375)</f>
        <v>-</v>
      </c>
      <c r="K372" s="139" t="str">
        <f>IF(SP_SUL!M375="","*",SP_SUL!M375)</f>
        <v>ZYQ-ZEM</v>
      </c>
      <c r="L372" s="139" t="str">
        <f>IF(SP_SUL!N375="","*",SP_SUL!N375)</f>
        <v>ZEM1302</v>
      </c>
      <c r="M372" s="140">
        <f>IF(SP_SUL!J375="","*",SP_SUL!J375)</f>
        <v>55</v>
      </c>
      <c r="N372" s="144">
        <f>IF(SP_SUL!K375="","*",SP_SUL!K375)</f>
        <v>130.6</v>
      </c>
      <c r="O372" s="144">
        <f>IF(SP_SUL!L375="","*",SP_SUL!L375)</f>
        <v>130.80000000000001</v>
      </c>
      <c r="P372" s="143">
        <f>IF(SP_SUL!O375="","*",SP_SUL!O375)</f>
        <v>0.375</v>
      </c>
      <c r="Q372" s="143">
        <f>IF(SP_SUL!P375="","*",SP_SUL!P375)</f>
        <v>8.3333333333333329E-2</v>
      </c>
      <c r="R372" s="145" t="str">
        <f>IF(SP_SUL!Q375="","*",CONCATENATE(SP_SUL!Q375," ",SP_SUL!R375))</f>
        <v>30 Nº DE DORMENTES</v>
      </c>
      <c r="S372" s="145" t="str">
        <f>IF(SP_SUL!V375="","*",SP_SUL!V375)</f>
        <v>Felipe</v>
      </c>
      <c r="T372" s="145" t="str">
        <f>IF(SP_SUL!W375="","*",SP_SUL!W375)</f>
        <v>Substituição de dormentes</v>
      </c>
      <c r="U372" s="137">
        <f ca="1">_xlfn.XLOOKUP(G372&amp;$U$2,BS_CONTROLE[CHAVE],BS_CONTROLE[Quantidade_11],"-")</f>
        <v>103</v>
      </c>
      <c r="V372" s="137">
        <f ca="1">_xlfn.XLOOKUP(G372&amp;$V$2,BS_CONTROLE[CHAVE],BS_CONTROLE[Quantidade_11],"-")</f>
        <v>0</v>
      </c>
      <c r="W372" s="137">
        <f ca="1">_xlfn.XLOOKUP(G372&amp;$W$2,BS_CONTROLE[CHAVE],BS_CONTROLE[Quantidade_11],"-")</f>
        <v>0</v>
      </c>
    </row>
    <row r="373" spans="1:23">
      <c r="A373" s="146" t="str">
        <f>IF(SP_SUL!Y376="","*",SP_SUL!Y376)</f>
        <v>OPORTUNIDADE</v>
      </c>
      <c r="B373" s="146" t="str">
        <f>IF(SP_SUL!X376="","*",SP_SUL!X376)</f>
        <v>Oportunidade</v>
      </c>
      <c r="C373" s="146" t="str">
        <f>IF(SP_SUL!Z376="","*",SP_SUL!Z376)</f>
        <v>*</v>
      </c>
      <c r="D373" s="139" t="str">
        <f>IF(SP_SUL!S376="","*",SP_SUL!S376)</f>
        <v>SP SUL</v>
      </c>
      <c r="E373" s="139" t="str">
        <f>IF(SP_SUL!T376="","*",SP_SUL!T376)</f>
        <v>ZKE-ZEV</v>
      </c>
      <c r="F373" s="145">
        <f>IF(SP_SUL!B376="","*",SP_SUL!B376)</f>
        <v>46093</v>
      </c>
      <c r="G373" s="145" t="str">
        <f>IF(SP_SUL!D376="","*",SP_SUL!D376)</f>
        <v>V89</v>
      </c>
      <c r="H373" s="145" t="str">
        <f>IF(SP_SUL!F376="","*",SP_SUL!F376)</f>
        <v>MECANIZAÇÃO - SOCADORA</v>
      </c>
      <c r="I373" s="145" t="str">
        <f>IF(SP_SUL!H376="","*",SP_SUL!H376)</f>
        <v>ZEM130-1</v>
      </c>
      <c r="J373" s="145" t="str">
        <f>IF(SP_SUL!I376="","*",SP_SUL!I376)</f>
        <v>ZEM130-2</v>
      </c>
      <c r="K373" s="139" t="str">
        <f>IF(SP_SUL!M376="","*",SP_SUL!M376)</f>
        <v>ZYQ-ZEM</v>
      </c>
      <c r="L373" s="139" t="str">
        <f>IF(SP_SUL!N376="","*",SP_SUL!N376)</f>
        <v>ZEM1302</v>
      </c>
      <c r="M373" s="140">
        <f>IF(SP_SUL!J376="","*",SP_SUL!J376)</f>
        <v>55</v>
      </c>
      <c r="N373" s="144">
        <f>IF(SP_SUL!K376="","*",SP_SUL!K376)</f>
        <v>132.5</v>
      </c>
      <c r="O373" s="144">
        <f>IF(SP_SUL!L376="","*",SP_SUL!L376)</f>
        <v>131.97999999999999</v>
      </c>
      <c r="P373" s="143">
        <f>IF(SP_SUL!O376="","*",SP_SUL!O376)</f>
        <v>0.38541666666666669</v>
      </c>
      <c r="Q373" s="143">
        <f>IF(SP_SUL!P376="","*",SP_SUL!P376)</f>
        <v>8.3333333333333329E-2</v>
      </c>
      <c r="R373" s="145" t="str">
        <f>IF(SP_SUL!Q376="","*",CONCATENATE(SP_SUL!Q376," ",SP_SUL!R376))</f>
        <v>480 M</v>
      </c>
      <c r="S373" s="145" t="str">
        <f>IF(SP_SUL!V376="","*",SP_SUL!V376)</f>
        <v>Antonioni</v>
      </c>
      <c r="T373" s="145" t="str">
        <f>IF(SP_SUL!W376="","*",SP_SUL!W376)</f>
        <v>Socaria mecanizada</v>
      </c>
      <c r="U373" s="137">
        <f ca="1">_xlfn.XLOOKUP(G373&amp;$U$2,BS_CONTROLE[CHAVE],BS_CONTROLE[Quantidade_11],"-")</f>
        <v>1750</v>
      </c>
      <c r="V373" s="137">
        <f ca="1">_xlfn.XLOOKUP(G373&amp;$V$2,BS_CONTROLE[CHAVE],BS_CONTROLE[Quantidade_11],"-")</f>
        <v>0</v>
      </c>
      <c r="W373" s="137">
        <f ca="1">_xlfn.XLOOKUP(G373&amp;$W$2,BS_CONTROLE[CHAVE],BS_CONTROLE[Quantidade_11],"-")</f>
        <v>0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OPORTUNIDADE</v>
      </c>
      <c r="B375" s="146" t="str">
        <f>IF(SP_SUL!X378="","*",SP_SUL!X378)</f>
        <v>Oportunidade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ZKE-ZEV</v>
      </c>
      <c r="F375" s="145">
        <f>IF(SP_SUL!B378="","*",SP_SUL!B378)</f>
        <v>46093</v>
      </c>
      <c r="G375" s="145" t="str">
        <f>IF(SP_SUL!D378="","*",SP_SUL!D378)</f>
        <v>MOD ZRB</v>
      </c>
      <c r="H375" s="145" t="str">
        <f>IF(SP_SUL!F378="","*",SP_SUL!F378)</f>
        <v>BLOCO</v>
      </c>
      <c r="I375" s="145" t="str">
        <f>IF(SP_SUL!H378="","*",SP_SUL!H378)</f>
        <v>-</v>
      </c>
      <c r="J375" s="145" t="str">
        <f>IF(SP_SUL!I378="","*",SP_SUL!I378)</f>
        <v>-</v>
      </c>
      <c r="K375" s="139" t="str">
        <f>IF(SP_SUL!M378="","*",SP_SUL!M378)</f>
        <v>ZEJ-ZRB</v>
      </c>
      <c r="L375" s="139" t="str">
        <f>IF(SP_SUL!N378="","*",SP_SUL!N378)</f>
        <v>ZEJZRB</v>
      </c>
      <c r="M375" s="140">
        <f>IF(SP_SUL!J378="","*",SP_SUL!J378)</f>
        <v>55</v>
      </c>
      <c r="N375" s="144">
        <f>IF(SP_SUL!K378="","*",SP_SUL!K378)</f>
        <v>145.9</v>
      </c>
      <c r="O375" s="144">
        <f>IF(SP_SUL!L378="","*",SP_SUL!L378)</f>
        <v>151.69999999999999</v>
      </c>
      <c r="P375" s="143">
        <f>IF(SP_SUL!O378="","*",SP_SUL!O378)</f>
        <v>0.33333333333333331</v>
      </c>
      <c r="Q375" s="143">
        <f>IF(SP_SUL!P378="","*",SP_SUL!P378)</f>
        <v>0.33333333333333331</v>
      </c>
      <c r="R375" s="145" t="str">
        <f>IF(SP_SUL!Q378="","*",CONCATENATE(SP_SUL!Q378," ",SP_SUL!R378))</f>
        <v>1 BINÁRIO</v>
      </c>
      <c r="S375" s="145" t="str">
        <f>IF(SP_SUL!V378="","*",SP_SUL!V378)</f>
        <v>Alisson</v>
      </c>
      <c r="T375" s="145" t="str">
        <f>IF(SP_SUL!W378="","*",SP_SUL!W378)</f>
        <v>Bloco Modernização</v>
      </c>
      <c r="U375" s="137" t="str">
        <f ca="1">_xlfn.XLOOKUP(G375&amp;$U$2,BS_CONTROLE[CHAVE],BS_CONTROLE[Quantidade_11],"-")</f>
        <v>-</v>
      </c>
      <c r="V375" s="137">
        <f ca="1">_xlfn.XLOOKUP(G375&amp;$V$2,BS_CONTROLE[CHAVE],BS_CONTROLE[Quantidade_11],"-")</f>
        <v>0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ZKE-ZEV</v>
      </c>
      <c r="F376" s="145">
        <f>IF(SP_SUL!B379="","*",SP_SUL!B379)</f>
        <v>46093</v>
      </c>
      <c r="G376" s="145" t="str">
        <f>IF(SP_SUL!D379="","*",SP_SUL!D379)</f>
        <v>W96</v>
      </c>
      <c r="H376" s="145" t="str">
        <f>IF(SP_SUL!F379="","*",SP_SUL!F379)</f>
        <v>MODERNIZAÇÃO - OUTRA ATIVIDADE</v>
      </c>
      <c r="I376" s="145" t="str">
        <f>IF(SP_SUL!H379="","*",SP_SUL!H379)</f>
        <v xml:space="preserve">ZEM1 </v>
      </c>
      <c r="J376" s="145" t="str">
        <f>IF(SP_SUL!I379="","*",SP_SUL!I379)</f>
        <v xml:space="preserve">ZEM1 </v>
      </c>
      <c r="K376" s="139" t="str">
        <f>IF(SP_SUL!M379="","*",SP_SUL!M379)</f>
        <v>ZEJ-ZEV</v>
      </c>
      <c r="L376" s="139" t="str">
        <f>IF(SP_SUL!N379="","*",SP_SUL!N379)</f>
        <v>148ZEJ2</v>
      </c>
      <c r="M376" s="140">
        <f>IF(SP_SUL!J379="","*",SP_SUL!J379)</f>
        <v>55</v>
      </c>
      <c r="N376" s="144">
        <f>IF(SP_SUL!K379="","*",SP_SUL!K379)</f>
        <v>147.52000000000001</v>
      </c>
      <c r="O376" s="144" t="str">
        <f>IF(SP_SUL!L379="","*",SP_SUL!L379)</f>
        <v>-</v>
      </c>
      <c r="P376" s="143">
        <f>IF(SP_SUL!O379="","*",SP_SUL!O379)</f>
        <v>0.31944444444444442</v>
      </c>
      <c r="Q376" s="143">
        <f>IF(SP_SUL!P379="","*",SP_SUL!P379)</f>
        <v>0</v>
      </c>
      <c r="R376" s="145" t="str">
        <f>IF(SP_SUL!Q379="","*",CONCATENATE(SP_SUL!Q379," ",SP_SUL!R379))</f>
        <v>1 BINÁRIO</v>
      </c>
      <c r="S376" s="145" t="str">
        <f>IF(SP_SUL!V379="","*",SP_SUL!V379)</f>
        <v>Alisson</v>
      </c>
      <c r="T376" s="145" t="str">
        <f>IF(SP_SUL!W379="","*",SP_SUL!W379)</f>
        <v>Deslocamento de ZEM-1 até o km147+520 entre 148ZEJ-2</v>
      </c>
      <c r="U376" s="137" t="str">
        <f ca="1">_xlfn.XLOOKUP(G376&amp;$U$2,BS_CONTROLE[CHAVE],BS_CONTROLE[Quantidade_11],"-")</f>
        <v>-</v>
      </c>
      <c r="V376" s="137">
        <f ca="1">_xlfn.XLOOKUP(G376&amp;$V$2,BS_CONTROLE[CHAVE],BS_CONTROLE[Quantidade_11],"-")</f>
        <v>0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ZKE-ZEV</v>
      </c>
      <c r="F377" s="145">
        <f>IF(SP_SUL!B380="","*",SP_SUL!B380)</f>
        <v>46093</v>
      </c>
      <c r="G377" s="145" t="str">
        <f>IF(SP_SUL!D380="","*",SP_SUL!D380)</f>
        <v>W99</v>
      </c>
      <c r="H377" s="145" t="str">
        <f>IF(SP_SUL!F380="","*",SP_SUL!F380)</f>
        <v>MODERNIZAÇÃO - PEDRA - DESCARGA</v>
      </c>
      <c r="I377" s="145" t="str">
        <f>IF(SP_SUL!H380="","*",SP_SUL!H380)</f>
        <v>ZEM1</v>
      </c>
      <c r="J377" s="145" t="str">
        <f>IF(SP_SUL!I380="","*",SP_SUL!I380)</f>
        <v xml:space="preserve">ZEM1 </v>
      </c>
      <c r="K377" s="139" t="str">
        <f>IF(SP_SUL!M380="","*",SP_SUL!M380)</f>
        <v>ZEJ-ZEV</v>
      </c>
      <c r="L377" s="139" t="str">
        <f>IF(SP_SUL!N380="","*",SP_SUL!N380)</f>
        <v>ZRB1502</v>
      </c>
      <c r="M377" s="140">
        <f>IF(SP_SUL!J380="","*",SP_SUL!J380)</f>
        <v>55</v>
      </c>
      <c r="N377" s="144">
        <f>IF(SP_SUL!K380="","*",SP_SUL!K380)</f>
        <v>150.1</v>
      </c>
      <c r="O377" s="144" t="str">
        <f>IF(SP_SUL!L380="","*",SP_SUL!L380)</f>
        <v>-</v>
      </c>
      <c r="P377" s="143">
        <f>IF(SP_SUL!O380="","*",SP_SUL!O380)</f>
        <v>0.30555555555555558</v>
      </c>
      <c r="Q377" s="143">
        <f>IF(SP_SUL!P380="","*",SP_SUL!P380)</f>
        <v>0</v>
      </c>
      <c r="R377" s="145" t="str">
        <f>IF(SP_SUL!Q380="","*",CONCATENATE(SP_SUL!Q380," ",SP_SUL!R380))</f>
        <v>10 VAGÕES</v>
      </c>
      <c r="S377" s="145" t="str">
        <f>IF(SP_SUL!V380="","*",SP_SUL!V380)</f>
        <v>Alisson</v>
      </c>
      <c r="T377" s="145" t="str">
        <f>IF(SP_SUL!W380="","*",SP_SUL!W380)</f>
        <v>Deslocamento de ZEM-1 até km150+100 entre ZRB150-2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ZKE-ZEV</v>
      </c>
      <c r="F378" s="145">
        <f>IF(SP_SUL!B381="","*",SP_SUL!B381)</f>
        <v>46093</v>
      </c>
      <c r="G378" s="145" t="str">
        <f>IF(SP_SUL!D381="","*",SP_SUL!D381)</f>
        <v>V95</v>
      </c>
      <c r="H378" s="145" t="str">
        <f>IF(SP_SUL!F381="","*",SP_SUL!F381)</f>
        <v>MODERNIZAÇÃO - SOCADORA</v>
      </c>
      <c r="I378" s="145" t="str">
        <f>IF(SP_SUL!H381="","*",SP_SUL!H381)</f>
        <v>ZEM1301</v>
      </c>
      <c r="J378" s="145" t="str">
        <f>IF(SP_SUL!I381="","*",SP_SUL!I381)</f>
        <v>ZEM1</v>
      </c>
      <c r="K378" s="139" t="str">
        <f>IF(SP_SUL!M381="","*",SP_SUL!M381)</f>
        <v>ZEJ-ZEV</v>
      </c>
      <c r="L378" s="139" t="str">
        <f>IF(SP_SUL!N381="","*",SP_SUL!N381)</f>
        <v>ZRB1502</v>
      </c>
      <c r="M378" s="140">
        <f>IF(SP_SUL!J381="","*",SP_SUL!J381)</f>
        <v>55</v>
      </c>
      <c r="N378" s="144">
        <f>IF(SP_SUL!K381="","*",SP_SUL!K381)</f>
        <v>150.15</v>
      </c>
      <c r="O378" s="144" t="str">
        <f>IF(SP_SUL!L381="","*",SP_SUL!L381)</f>
        <v>-</v>
      </c>
      <c r="P378" s="143">
        <f>IF(SP_SUL!O381="","*",SP_SUL!O381)</f>
        <v>0.30555555555555558</v>
      </c>
      <c r="Q378" s="143">
        <f>IF(SP_SUL!P381="","*",SP_SUL!P381)</f>
        <v>0</v>
      </c>
      <c r="R378" s="145" t="str">
        <f>IF(SP_SUL!Q381="","*",CONCATENATE(SP_SUL!Q381," ",SP_SUL!R381))</f>
        <v>500 M</v>
      </c>
      <c r="S378" s="145" t="str">
        <f>IF(SP_SUL!V381="","*",SP_SUL!V381)</f>
        <v>Alisson</v>
      </c>
      <c r="T378" s="145" t="str">
        <f>IF(SP_SUL!W381="","*",SP_SUL!W381)</f>
        <v>Deslocamento de ZEM-1 até km 150+150 entre ZRB150-2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ZKE-ZEV</v>
      </c>
      <c r="F379" s="145">
        <f>IF(SP_SUL!B382="","*",SP_SUL!B382)</f>
        <v>46093</v>
      </c>
      <c r="G379" s="145" t="str">
        <f>IF(SP_SUL!D382="","*",SP_SUL!D382)</f>
        <v>W97</v>
      </c>
      <c r="H379" s="145" t="str">
        <f>IF(SP_SUL!F382="","*",SP_SUL!F382)</f>
        <v>MODERNIZAÇÃO - OUTRA ATIVIDADE</v>
      </c>
      <c r="I379" s="145" t="str">
        <f>IF(SP_SUL!H382="","*",SP_SUL!H382)</f>
        <v>Z3VZEV</v>
      </c>
      <c r="J379" s="145" t="str">
        <f>IF(SP_SUL!I382="","*",SP_SUL!I382)</f>
        <v>Z3VZEV</v>
      </c>
      <c r="K379" s="139" t="str">
        <f>IF(SP_SUL!M382="","*",SP_SUL!M382)</f>
        <v>ZEJ-ZEV</v>
      </c>
      <c r="L379" s="139" t="str">
        <f>IF(SP_SUL!N382="","*",SP_SUL!N382)</f>
        <v>ZRB1502</v>
      </c>
      <c r="M379" s="140">
        <f>IF(SP_SUL!J382="","*",SP_SUL!J382)</f>
        <v>55</v>
      </c>
      <c r="N379" s="144">
        <f>IF(SP_SUL!K382="","*",SP_SUL!K382)</f>
        <v>150.6</v>
      </c>
      <c r="O379" s="144" t="str">
        <f>IF(SP_SUL!L382="","*",SP_SUL!L382)</f>
        <v>-</v>
      </c>
      <c r="P379" s="143">
        <f>IF(SP_SUL!O382="","*",SP_SUL!O382)</f>
        <v>0.30555555555555558</v>
      </c>
      <c r="Q379" s="143">
        <f>IF(SP_SUL!P382="","*",SP_SUL!P382)</f>
        <v>0</v>
      </c>
      <c r="R379" s="145" t="str">
        <f>IF(SP_SUL!Q382="","*",CONCATENATE(SP_SUL!Q382," ",SP_SUL!R382))</f>
        <v>1 BINÁRIO</v>
      </c>
      <c r="S379" s="145" t="str">
        <f>IF(SP_SUL!V382="","*",SP_SUL!V382)</f>
        <v>Alisson</v>
      </c>
      <c r="T379" s="145" t="str">
        <f>IF(SP_SUL!W382="","*",SP_SUL!W382)</f>
        <v>W97 + V96 Deslocamento em comboio de ZEV até km 150+600 entre ZRB150-2</v>
      </c>
      <c r="U379" s="137" t="str">
        <f ca="1">_xlfn.XLOOKUP(G379&amp;$U$2,BS_CONTROLE[CHAVE],BS_CONTROLE[Quantidade_11],"-")</f>
        <v>-</v>
      </c>
      <c r="V379" s="137">
        <f ca="1">_xlfn.XLOOKUP(G379&amp;$V$2,BS_CONTROLE[CHAVE],BS_CONTROLE[Quantidade_11],"-")</f>
        <v>0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OPORTUNIDADE</v>
      </c>
      <c r="B380" s="146" t="str">
        <f>IF(SP_SUL!X383="","*",SP_SUL!X383)</f>
        <v>Oportunidade</v>
      </c>
      <c r="C380" s="146" t="str">
        <f>IF(SP_SUL!Z383="","*",SP_SUL!Z383)</f>
        <v>*</v>
      </c>
      <c r="D380" s="139" t="str">
        <f>IF(SP_SUL!S383="","*",SP_SUL!S383)</f>
        <v>SP SUL</v>
      </c>
      <c r="E380" s="139" t="str">
        <f>IF(SP_SUL!T383="","*",SP_SUL!T383)</f>
        <v>ZKE-ZEV</v>
      </c>
      <c r="F380" s="145">
        <f>IF(SP_SUL!B383="","*",SP_SUL!B383)</f>
        <v>46093</v>
      </c>
      <c r="G380" s="145" t="str">
        <f>IF(SP_SUL!D383="","*",SP_SUL!D383)</f>
        <v>V96</v>
      </c>
      <c r="H380" s="145" t="str">
        <f>IF(SP_SUL!F383="","*",SP_SUL!F383)</f>
        <v>MODERNIZAÇÃO - SOCADORA</v>
      </c>
      <c r="I380" s="145" t="str">
        <f>IF(SP_SUL!H383="","*",SP_SUL!H383)</f>
        <v>Z3VZEV</v>
      </c>
      <c r="J380" s="145" t="str">
        <f>IF(SP_SUL!I383="","*",SP_SUL!I383)</f>
        <v>Z3VZEV</v>
      </c>
      <c r="K380" s="139" t="str">
        <f>IF(SP_SUL!M383="","*",SP_SUL!M383)</f>
        <v>ZEJ-ZEV</v>
      </c>
      <c r="L380" s="139" t="str">
        <f>IF(SP_SUL!N383="","*",SP_SUL!N383)</f>
        <v>ZRB1502</v>
      </c>
      <c r="M380" s="140">
        <f>IF(SP_SUL!J383="","*",SP_SUL!J383)</f>
        <v>55</v>
      </c>
      <c r="N380" s="144">
        <f>IF(SP_SUL!K383="","*",SP_SUL!K383)</f>
        <v>150.6</v>
      </c>
      <c r="O380" s="144" t="str">
        <f>IF(SP_SUL!L383="","*",SP_SUL!L383)</f>
        <v>-</v>
      </c>
      <c r="P380" s="143">
        <f>IF(SP_SUL!O383="","*",SP_SUL!O383)</f>
        <v>0.30555555555555558</v>
      </c>
      <c r="Q380" s="143">
        <f>IF(SP_SUL!P383="","*",SP_SUL!P383)</f>
        <v>0</v>
      </c>
      <c r="R380" s="145" t="str">
        <f>IF(SP_SUL!Q383="","*",CONCATENATE(SP_SUL!Q383," ",SP_SUL!R383))</f>
        <v>500 M</v>
      </c>
      <c r="S380" s="145" t="str">
        <f>IF(SP_SUL!V383="","*",SP_SUL!V383)</f>
        <v>Alisson</v>
      </c>
      <c r="T380" s="145" t="str">
        <f>IF(SP_SUL!W383="","*",SP_SUL!W383)</f>
        <v>W97 + V96 Deslocamento em comboio de ZEV até km 150+600 entre ZRB150-2</v>
      </c>
      <c r="U380" s="137" t="str">
        <f ca="1">_xlfn.XLOOKUP(G380&amp;$U$2,BS_CONTROLE[CHAVE],BS_CONTROLE[Quantidade_11],"-")</f>
        <v>-</v>
      </c>
      <c r="V380" s="137">
        <f ca="1">_xlfn.XLOOKUP(G380&amp;$V$2,BS_CONTROLE[CHAVE],BS_CONTROLE[Quantidade_11],"-")</f>
        <v>0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46093</v>
      </c>
      <c r="G381" s="145" t="str">
        <f>IF(SP_SUL!D384="","*",SP_SUL!D384)</f>
        <v>MODERNIZAÇÃO TURMA 2</v>
      </c>
      <c r="H381" s="145" t="str">
        <f>IF(SP_SUL!F384="","*",SP_SUL!F384)</f>
        <v>MODERNIZAÇÃO - SOLDA</v>
      </c>
      <c r="I381" s="145" t="str">
        <f>IF(SP_SUL!H384="","*",SP_SUL!H384)</f>
        <v>-</v>
      </c>
      <c r="J381" s="145" t="str">
        <f>IF(SP_SUL!I384="","*",SP_SUL!I384)</f>
        <v>-</v>
      </c>
      <c r="K381" s="139" t="str">
        <f>IF(SP_SUL!M384="","*",SP_SUL!M384)</f>
        <v>ZEJ-ZEV</v>
      </c>
      <c r="L381" s="139" t="str">
        <f>IF(SP_SUL!N384="","*",SP_SUL!N384)</f>
        <v>148ZEJ2</v>
      </c>
      <c r="M381" s="140">
        <f>IF(SP_SUL!J384="","*",SP_SUL!J384)</f>
        <v>55</v>
      </c>
      <c r="N381" s="144">
        <f>IF(SP_SUL!K384="","*",SP_SUL!K384)</f>
        <v>148</v>
      </c>
      <c r="O381" s="144">
        <f>IF(SP_SUL!L384="","*",SP_SUL!L384)</f>
        <v>148.4</v>
      </c>
      <c r="P381" s="143">
        <f>IF(SP_SUL!O384="","*",SP_SUL!O384)</f>
        <v>0.33333333333333331</v>
      </c>
      <c r="Q381" s="143">
        <f>IF(SP_SUL!P384="","*",SP_SUL!P384)</f>
        <v>0</v>
      </c>
      <c r="R381" s="145" t="str">
        <f>IF(SP_SUL!Q384="","*",CONCATENATE(SP_SUL!Q384," ",SP_SUL!R384))</f>
        <v>2 Nº DE SOLDA</v>
      </c>
      <c r="S381" s="145" t="str">
        <f>IF(SP_SUL!V384="","*",SP_SUL!V384)</f>
        <v>Alisson</v>
      </c>
      <c r="T381" s="145" t="str">
        <f>IF(SP_SUL!W384="","*",SP_SUL!W384)</f>
        <v xml:space="preserve">Execução de solda - Condicionado a temperatura </v>
      </c>
      <c r="U381" s="137">
        <f ca="1">_xlfn.XLOOKUP(G381&amp;$U$2,BS_CONTROLE[CHAVE],BS_CONTROLE[Quantidade_11],"-")</f>
        <v>0</v>
      </c>
      <c r="V381" s="137">
        <f ca="1">_xlfn.XLOOKUP(G381&amp;$V$2,BS_CONTROLE[CHAVE],BS_CONTROLE[Quantidade_11],"-")</f>
        <v>1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ZEV-ZPT</v>
      </c>
      <c r="F383" s="145">
        <f>IF(SP_SUL!B386="","*",SP_SUL!B386)</f>
        <v>46093</v>
      </c>
      <c r="G383" s="145" t="str">
        <f>IF(SP_SUL!D386="","*",SP_SUL!D386)</f>
        <v>JACIANO (TF-674)</v>
      </c>
      <c r="H383" s="145" t="str">
        <f>IF(SP_SUL!F386="","*",SP_SUL!F386)</f>
        <v>PDM - SUBSTITUIÇÃO - DORMENTE</v>
      </c>
      <c r="I383" s="145" t="str">
        <f>IF(SP_SUL!H386="","*",SP_SUL!H386)</f>
        <v>-</v>
      </c>
      <c r="J383" s="145" t="str">
        <f>IF(SP_SUL!I386="","*",SP_SUL!I386)</f>
        <v>-</v>
      </c>
      <c r="K383" s="139" t="str">
        <f>IF(SP_SUL!M386="","*",SP_SUL!M386)</f>
        <v>ZEZ-069</v>
      </c>
      <c r="L383" s="139" t="str">
        <f>IF(SP_SUL!N386="","*",SP_SUL!N386)</f>
        <v>K73K721</v>
      </c>
      <c r="M383" s="140">
        <f>IF(SP_SUL!J386="","*",SP_SUL!J386)</f>
        <v>54</v>
      </c>
      <c r="N383" s="144">
        <f>IF(SP_SUL!K386="","*",SP_SUL!K386)</f>
        <v>72</v>
      </c>
      <c r="O383" s="144" t="str">
        <f>IF(SP_SUL!L386="","*",SP_SUL!L386)</f>
        <v>-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30 Nº DE DORMENTES</v>
      </c>
      <c r="S383" s="145" t="str">
        <f>IF(SP_SUL!V386="","*",SP_SUL!V386)</f>
        <v>Moises</v>
      </c>
      <c r="T383" s="145" t="str">
        <f>IF(SP_SUL!W386="","*",SP_SUL!W386)</f>
        <v>Substituição de dormentes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ZEV-ZPT</v>
      </c>
      <c r="F384" s="145">
        <f>IF(SP_SUL!B387="","*",SP_SUL!B387)</f>
        <v>46093</v>
      </c>
      <c r="G384" s="145" t="str">
        <f>IF(SP_SUL!D387="","*",SP_SUL!D387)</f>
        <v>MODERNIZAÇÃO TURMA 2</v>
      </c>
      <c r="H384" s="145" t="str">
        <f>IF(SP_SUL!F387="","*",SP_SUL!F387)</f>
        <v>MODERNIZAÇÃO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ZXW-ZEZ</v>
      </c>
      <c r="L384" s="139" t="str">
        <f>IF(SP_SUL!N387="","*",SP_SUL!N387)</f>
        <v>ZXWK792</v>
      </c>
      <c r="M384" s="140">
        <f>IF(SP_SUL!J387="","*",SP_SUL!J387)</f>
        <v>92</v>
      </c>
      <c r="N384" s="144">
        <f>IF(SP_SUL!K387="","*",SP_SUL!K387)</f>
        <v>79.67</v>
      </c>
      <c r="O384" s="144" t="str">
        <f>IF(SP_SUL!L387="","*",SP_SUL!L387)</f>
        <v>-</v>
      </c>
      <c r="P384" s="143">
        <f>IF(SP_SUL!O387="","*",SP_SUL!O387)</f>
        <v>0.34375</v>
      </c>
      <c r="Q384" s="143">
        <f>IF(SP_SUL!P387="","*",SP_SUL!P387)</f>
        <v>6.25E-2</v>
      </c>
      <c r="R384" s="145" t="str">
        <f>IF(SP_SUL!Q387="","*",CONCATENATE(SP_SUL!Q387," ",SP_SUL!R387))</f>
        <v>1 Nº DE SOLDA</v>
      </c>
      <c r="S384" s="145" t="str">
        <f>IF(SP_SUL!V387="","*",SP_SUL!V387)</f>
        <v>Augusto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>
        <f ca="1">_xlfn.XLOOKUP(G384&amp;$V$2,BS_CONTROLE[CHAVE],BS_CONTROLE[Quantidade_11],"-")</f>
        <v>1</v>
      </c>
      <c r="W384" s="137">
        <f ca="1">_xlfn.XLOOKUP(G384&amp;$W$2,BS_CONTROLE[CHAVE],BS_CONTROLE[Quantidade_11],"-")</f>
        <v>0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ZEV-ZPT</v>
      </c>
      <c r="F385" s="145">
        <f>IF(SP_SUL!B388="","*",SP_SUL!B388)</f>
        <v>46093</v>
      </c>
      <c r="G385" s="145" t="str">
        <f>IF(SP_SUL!D388="","*",SP_SUL!D388)</f>
        <v>CARLOS (TP-722)</v>
      </c>
      <c r="H385" s="145" t="str">
        <f>IF(SP_SUL!F388="","*",SP_SUL!F388)</f>
        <v>PDM - SUBSTITUIÇÃO - DORMENTE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ZXW</v>
      </c>
      <c r="L385" s="139" t="str">
        <f>IF(SP_SUL!N388="","*",SP_SUL!N388)</f>
        <v>ZXW2</v>
      </c>
      <c r="M385" s="140">
        <f>IF(SP_SUL!J388="","*",SP_SUL!J388)</f>
        <v>92</v>
      </c>
      <c r="N385" s="144">
        <f>IF(SP_SUL!K388="","*",SP_SUL!K388)</f>
        <v>82</v>
      </c>
      <c r="O385" s="144" t="str">
        <f>IF(SP_SUL!L388="","*",SP_SUL!L388)</f>
        <v>-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30 Nº DE DORMENTES</v>
      </c>
      <c r="S385" s="145" t="str">
        <f>IF(SP_SUL!V388="","*",SP_SUL!V388)</f>
        <v>Moises</v>
      </c>
      <c r="T385" s="145" t="str">
        <f>IF(SP_SUL!W388="","*",SP_SUL!W388)</f>
        <v>Substituição de dormentes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>
      <c r="A386" s="146" t="str">
        <f>IF(SP_SUL!Y389="","*",SP_SUL!Y389)</f>
        <v>OPORTUNIDADE</v>
      </c>
      <c r="B386" s="146" t="str">
        <f>IF(SP_SUL!X389="","*",SP_SUL!X389)</f>
        <v>Oportunidade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ZEV-ZPT</v>
      </c>
      <c r="F386" s="145">
        <f>IF(SP_SUL!B389="","*",SP_SUL!B389)</f>
        <v>46093</v>
      </c>
      <c r="G386" s="145" t="str">
        <f>IF(SP_SUL!D389="","*",SP_SUL!D389)</f>
        <v>RAFAEL (TP-695)</v>
      </c>
      <c r="H386" s="145" t="str">
        <f>IF(SP_SUL!F389="","*",SP_SUL!F389)</f>
        <v>PDM - AMV - JACARÉ</v>
      </c>
      <c r="I386" s="145" t="str">
        <f>IF(SP_SUL!H389="","*",SP_SUL!H389)</f>
        <v>-</v>
      </c>
      <c r="J386" s="145" t="str">
        <f>IF(SP_SUL!I389="","*",SP_SUL!I389)</f>
        <v>*</v>
      </c>
      <c r="K386" s="139" t="str">
        <f>IF(SP_SUL!M389="","*",SP_SUL!M389)</f>
        <v>ZGP</v>
      </c>
      <c r="L386" s="139" t="str">
        <f>IF(SP_SUL!N389="","*",SP_SUL!N389)</f>
        <v>ZGP2</v>
      </c>
      <c r="M386" s="140">
        <f>IF(SP_SUL!J389="","*",SP_SUL!J389)</f>
        <v>92</v>
      </c>
      <c r="N386" s="144">
        <f>IF(SP_SUL!K389="","*",SP_SUL!K389)</f>
        <v>101.95</v>
      </c>
      <c r="O386" s="144" t="str">
        <f>IF(SP_SUL!L389="","*",SP_SUL!L389)</f>
        <v>-</v>
      </c>
      <c r="P386" s="143">
        <f>IF(SP_SUL!O389="","*",SP_SUL!O389)</f>
        <v>0.375</v>
      </c>
      <c r="Q386" s="143">
        <f>IF(SP_SUL!P389="","*",SP_SUL!P389)</f>
        <v>0.125</v>
      </c>
      <c r="R386" s="145" t="str">
        <f>IF(SP_SUL!Q389="","*",CONCATENATE(SP_SUL!Q389," ",SP_SUL!R389))</f>
        <v>2 Nº DE PEÇAS</v>
      </c>
      <c r="S386" s="145" t="str">
        <f>IF(SP_SUL!V389="","*",SP_SUL!V389)</f>
        <v>Moises</v>
      </c>
      <c r="T386" s="145" t="str">
        <f>IF(SP_SUL!W389="","*",SP_SUL!W389)</f>
        <v>PDM - Substituição de jacaré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0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ZEV-ZPT</v>
      </c>
      <c r="F387" s="145">
        <f>IF(SP_SUL!B390="","*",SP_SUL!B390)</f>
        <v>46093</v>
      </c>
      <c r="G387" s="145" t="str">
        <f>IF(SP_SUL!D390="","*",SP_SUL!D390)</f>
        <v>MOD ZGP</v>
      </c>
      <c r="H387" s="145" t="str">
        <f>IF(SP_SUL!F390="","*",SP_SUL!F390)</f>
        <v>BLOCO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ZGP</v>
      </c>
      <c r="L387" s="139" t="str">
        <f>IF(SP_SUL!N390="","*",SP_SUL!N390)</f>
        <v>ZGP2</v>
      </c>
      <c r="M387" s="140">
        <f>IF(SP_SUL!J390="","*",SP_SUL!J390)</f>
        <v>92</v>
      </c>
      <c r="N387" s="144">
        <f>IF(SP_SUL!K390="","*",SP_SUL!K390)</f>
        <v>102</v>
      </c>
      <c r="O387" s="144">
        <f>IF(SP_SUL!L390="","*",SP_SUL!L390)</f>
        <v>106.3</v>
      </c>
      <c r="P387" s="143">
        <f>IF(SP_SUL!O390="","*",SP_SUL!O390)</f>
        <v>0.33333333333333331</v>
      </c>
      <c r="Q387" s="143">
        <f>IF(SP_SUL!P390="","*",SP_SUL!P390)</f>
        <v>0.22916666666666666</v>
      </c>
      <c r="R387" s="145" t="str">
        <f>IF(SP_SUL!Q390="","*",CONCATENATE(SP_SUL!Q390," ",SP_SUL!R390))</f>
        <v>1 BINÁRIO</v>
      </c>
      <c r="S387" s="145" t="str">
        <f>IF(SP_SUL!V390="","*",SP_SUL!V390)</f>
        <v>Augusto</v>
      </c>
      <c r="T387" s="145" t="str">
        <f>IF(SP_SUL!W390="","*",SP_SUL!W390)</f>
        <v>Horário limite de abertura do intervalo: 09:30h
Duração: 10h00 com interdição total de ZGP2, 105ZGP-2 e ZPT105-2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1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ZEV-ZPT</v>
      </c>
      <c r="F388" s="145">
        <f>IF(SP_SUL!B391="","*",SP_SUL!B391)</f>
        <v>46093</v>
      </c>
      <c r="G388" s="145" t="str">
        <f>IF(SP_SUL!D391="","*",SP_SUL!D391)</f>
        <v>V85</v>
      </c>
      <c r="H388" s="145" t="str">
        <f>IF(SP_SUL!F391="","*",SP_SUL!F391)</f>
        <v>MECANIZAÇÃO - SOCADORA</v>
      </c>
      <c r="I388" s="145" t="str">
        <f>IF(SP_SUL!H391="","*",SP_SUL!H391)</f>
        <v>ZDRZPT</v>
      </c>
      <c r="J388" s="145" t="str">
        <f>IF(SP_SUL!I391="","*",SP_SUL!I391)</f>
        <v>ZDRZPT</v>
      </c>
      <c r="K388" s="139" t="str">
        <f>IF(SP_SUL!M391="","*",SP_SUL!M391)</f>
        <v>ZGP</v>
      </c>
      <c r="L388" s="139" t="str">
        <f>IF(SP_SUL!N391="","*",SP_SUL!N391)</f>
        <v>ZGP2</v>
      </c>
      <c r="M388" s="140">
        <f>IF(SP_SUL!J391="","*",SP_SUL!J391)</f>
        <v>92</v>
      </c>
      <c r="N388" s="144">
        <f>IF(SP_SUL!K391="","*",SP_SUL!K391)</f>
        <v>102.1</v>
      </c>
      <c r="O388" s="144">
        <f>IF(SP_SUL!L391="","*",SP_SUL!L391)</f>
        <v>103.54</v>
      </c>
      <c r="P388" s="143">
        <f>IF(SP_SUL!O391="","*",SP_SUL!O391)</f>
        <v>0.32291666666666669</v>
      </c>
      <c r="Q388" s="143">
        <f>IF(SP_SUL!P391="","*",SP_SUL!P391)</f>
        <v>0</v>
      </c>
      <c r="R388" s="145" t="str">
        <f>IF(SP_SUL!Q391="","*",CONCATENATE(SP_SUL!Q391," ",SP_SUL!R391))</f>
        <v>1310 M</v>
      </c>
      <c r="S388" s="145" t="str">
        <f>IF(SP_SUL!V391="","*",SP_SUL!V391)</f>
        <v>Augusto</v>
      </c>
      <c r="T388" s="145" t="str">
        <f>IF(SP_SUL!W391="","*",SP_SUL!W391)</f>
        <v>Socaria Mecanizada</v>
      </c>
      <c r="U388" s="137">
        <f ca="1">_xlfn.XLOOKUP(G388&amp;$U$2,BS_CONTROLE[CHAVE],BS_CONTROLE[Quantidade_11],"-")</f>
        <v>1</v>
      </c>
      <c r="V388" s="137">
        <f ca="1">_xlfn.XLOOKUP(G388&amp;$V$2,BS_CONTROLE[CHAVE],BS_CONTROLE[Quantidade_11],"-")</f>
        <v>1860</v>
      </c>
      <c r="W388" s="137">
        <f ca="1">_xlfn.XLOOKUP(G388&amp;$W$2,BS_CONTROLE[CHAVE],BS_CONTROLE[Quantidade_11],"-")</f>
        <v>1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46093</v>
      </c>
      <c r="G389" s="145" t="str">
        <f>IF(SP_SUL!D392="","*",SP_SUL!D392)</f>
        <v>W62</v>
      </c>
      <c r="H389" s="145" t="str">
        <f>IF(SP_SUL!F392="","*",SP_SUL!F392)</f>
        <v>MODERNIZAÇÃO - PEDRA - DESCARGA</v>
      </c>
      <c r="I389" s="145" t="str">
        <f>IF(SP_SUL!H392="","*",SP_SUL!H392)</f>
        <v>ZDRZPT</v>
      </c>
      <c r="J389" s="145" t="str">
        <f>IF(SP_SUL!I392="","*",SP_SUL!I392)</f>
        <v>ZDRZPT</v>
      </c>
      <c r="K389" s="139" t="str">
        <f>IF(SP_SUL!M392="","*",SP_SUL!M392)</f>
        <v>ZGP</v>
      </c>
      <c r="L389" s="139" t="str">
        <f>IF(SP_SUL!N392="","*",SP_SUL!N392)</f>
        <v>ZGP2</v>
      </c>
      <c r="M389" s="140">
        <f>IF(SP_SUL!J392="","*",SP_SUL!J392)</f>
        <v>92</v>
      </c>
      <c r="N389" s="144">
        <f>IF(SP_SUL!K392="","*",SP_SUL!K392)</f>
        <v>103.07</v>
      </c>
      <c r="O389" s="144">
        <f>IF(SP_SUL!L392="","*",SP_SUL!L392)</f>
        <v>104.8</v>
      </c>
      <c r="P389" s="143">
        <f>IF(SP_SUL!O392="","*",SP_SUL!O392)</f>
        <v>0.32291666666666669</v>
      </c>
      <c r="Q389" s="143">
        <f>IF(SP_SUL!P392="","*",SP_SUL!P392)</f>
        <v>0</v>
      </c>
      <c r="R389" s="145" t="str">
        <f>IF(SP_SUL!Q392="","*",CONCATENATE(SP_SUL!Q392," ",SP_SUL!R392))</f>
        <v>2 VAGÕES</v>
      </c>
      <c r="S389" s="145" t="str">
        <f>IF(SP_SUL!V392="","*",SP_SUL!V392)</f>
        <v>Augusto</v>
      </c>
      <c r="T389" s="145" t="str">
        <f>IF(SP_SUL!W392="","*",SP_SUL!W392)</f>
        <v>Descarga de dormentes + Recolha de dormentes + Descarga de pedra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1</v>
      </c>
      <c r="W389" s="137">
        <f ca="1">_xlfn.XLOOKUP(G389&amp;$W$2,BS_CONTROLE[CHAVE],BS_CONTROLE[Quantidade_11],"-")</f>
        <v>1</v>
      </c>
    </row>
    <row r="390" spans="1:23">
      <c r="A390" s="146" t="str">
        <f>IF(SP_SUL!Y393="","*",SP_SUL!Y393)</f>
        <v>OPORTUNIDADE</v>
      </c>
      <c r="B390" s="146" t="str">
        <f>IF(SP_SUL!X393="","*",SP_SUL!X393)</f>
        <v>Oportunidade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46093</v>
      </c>
      <c r="G390" s="145" t="str">
        <f>IF(SP_SUL!D393="","*",SP_SUL!D393)</f>
        <v>HUELTON (TP-725)</v>
      </c>
      <c r="H390" s="145" t="str">
        <f>IF(SP_SUL!F393="","*",SP_SUL!F393)</f>
        <v>PDM - SOLDA</v>
      </c>
      <c r="I390" s="145" t="str">
        <f>IF(SP_SUL!H393="","*",SP_SUL!H393)</f>
        <v>-</v>
      </c>
      <c r="J390" s="145" t="str">
        <f>IF(SP_SUL!I393="","*",SP_SUL!I393)</f>
        <v>*</v>
      </c>
      <c r="K390" s="139" t="str">
        <f>IF(SP_SUL!M393="","*",SP_SUL!M393)</f>
        <v>ZPT</v>
      </c>
      <c r="L390" s="139" t="str">
        <f>IF(SP_SUL!N393="","*",SP_SUL!N393)</f>
        <v>ZPT2</v>
      </c>
      <c r="M390" s="140">
        <f>IF(SP_SUL!J393="","*",SP_SUL!J393)</f>
        <v>92</v>
      </c>
      <c r="N390" s="144">
        <f>IF(SP_SUL!K393="","*",SP_SUL!K393)</f>
        <v>106.8</v>
      </c>
      <c r="O390" s="144" t="str">
        <f>IF(SP_SUL!L393="","*",SP_SUL!L393)</f>
        <v>-</v>
      </c>
      <c r="P390" s="143">
        <f>IF(SP_SUL!O393="","*",SP_SUL!O393)</f>
        <v>0.375</v>
      </c>
      <c r="Q390" s="143">
        <f>IF(SP_SUL!P393="","*",SP_SUL!P393)</f>
        <v>0.125</v>
      </c>
      <c r="R390" s="145" t="str">
        <f>IF(SP_SUL!Q393="","*",CONCATENATE(SP_SUL!Q393," ",SP_SUL!R393))</f>
        <v>2 Nº DE SOLDA</v>
      </c>
      <c r="S390" s="145" t="str">
        <f>IF(SP_SUL!V393="","*",SP_SUL!V393)</f>
        <v>Moises</v>
      </c>
      <c r="T390" s="145" t="str">
        <f>IF(SP_SUL!W393="","*",SP_SUL!W393)</f>
        <v xml:space="preserve">Execução de solda - Condicionado a temperatura </v>
      </c>
      <c r="U390" s="137" t="str">
        <f ca="1">_xlfn.XLOOKUP(G390&amp;$U$2,BS_CONTROLE[CHAVE],BS_CONTROLE[Quantidade_11],"-")</f>
        <v>-</v>
      </c>
      <c r="V390" s="137">
        <f ca="1">_xlfn.XLOOKUP(G390&amp;$V$2,BS_CONTROLE[CHAVE],BS_CONTROLE[Quantidade_11],"-")</f>
        <v>0</v>
      </c>
      <c r="W390" s="137">
        <f ca="1">_xlfn.XLOOKUP(G390&amp;$W$2,BS_CONTROLE[CHAVE],BS_CONTROLE[Quantidade_11],"-")</f>
        <v>0</v>
      </c>
    </row>
    <row r="391" spans="1:23">
      <c r="A391" s="146" t="str">
        <f>IF(SP_SUL!Y394="","*",SP_SUL!Y394)</f>
        <v>OPORTUNIDADE</v>
      </c>
      <c r="B391" s="146" t="str">
        <f>IF(SP_SUL!X394="","*",SP_SUL!X394)</f>
        <v>Oportunidade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46093</v>
      </c>
      <c r="G391" s="145" t="str">
        <f>IF(SP_SUL!D394="","*",SP_SUL!D394)</f>
        <v>EXPANSÃO TURMA 1</v>
      </c>
      <c r="H391" s="145" t="str">
        <f>IF(SP_SUL!F394="","*",SP_SUL!F394)</f>
        <v>EXPANSÃO - SOLDA</v>
      </c>
      <c r="I391" s="145" t="str">
        <f>IF(SP_SUL!H394="","*",SP_SUL!H394)</f>
        <v>-</v>
      </c>
      <c r="J391" s="145" t="str">
        <f>IF(SP_SUL!I394="","*",SP_SUL!I394)</f>
        <v>-</v>
      </c>
      <c r="K391" s="139" t="str">
        <f>IF(SP_SUL!M394="","*",SP_SUL!M394)</f>
        <v>ZGM-109</v>
      </c>
      <c r="L391" s="139">
        <f>IF(SP_SUL!N394="","*",SP_SUL!N394)</f>
        <v>1121111</v>
      </c>
      <c r="M391" s="140">
        <f>IF(SP_SUL!J394="","*",SP_SUL!J394)</f>
        <v>30</v>
      </c>
      <c r="N391" s="144">
        <f>IF(SP_SUL!K394="","*",SP_SUL!K394)</f>
        <v>111.5</v>
      </c>
      <c r="O391" s="144">
        <f>IF(SP_SUL!L394="","*",SP_SUL!L394)</f>
        <v>112</v>
      </c>
      <c r="P391" s="143">
        <f>IF(SP_SUL!O394="","*",SP_SUL!O394)</f>
        <v>0.41666666666666669</v>
      </c>
      <c r="Q391" s="143">
        <f>IF(SP_SUL!P394="","*",SP_SUL!P394)</f>
        <v>6.25E-2</v>
      </c>
      <c r="R391" s="145" t="str">
        <f>IF(SP_SUL!Q394="","*",CONCATENATE(SP_SUL!Q394," ",SP_SUL!R394))</f>
        <v>1 Nº DE SOLDA</v>
      </c>
      <c r="S391" s="145" t="str">
        <f>IF(SP_SUL!V394="","*",SP_SUL!V394)</f>
        <v>Pedro</v>
      </c>
      <c r="T391" s="145" t="str">
        <f>IF(SP_SUL!W394="","*",SP_SUL!W394)</f>
        <v xml:space="preserve">Execução de solda - Condicionado a temperatura </v>
      </c>
      <c r="U391" s="137">
        <f ca="1">_xlfn.XLOOKUP(G391&amp;$U$2,BS_CONTROLE[CHAVE],BS_CONTROLE[Quantidade_11],"-")</f>
        <v>0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>
      <c r="A392" s="146" t="str">
        <f>IF(SP_SUL!Y395="","*",SP_SUL!Y395)</f>
        <v>OPORTUNIDADE</v>
      </c>
      <c r="B392" s="146" t="str">
        <f>IF(SP_SUL!X395="","*",SP_SUL!X395)</f>
        <v>Oportunidade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46093</v>
      </c>
      <c r="G392" s="145" t="str">
        <f>IF(SP_SUL!D395="","*",SP_SUL!D395)</f>
        <v>DIEGO (TF-42)</v>
      </c>
      <c r="H392" s="145" t="str">
        <f>IF(SP_SUL!F395="","*",SP_SUL!F395)</f>
        <v>LIMPEZA LASTRO</v>
      </c>
      <c r="I392" s="145" t="str">
        <f>IF(SP_SUL!H395="","*",SP_SUL!H395)</f>
        <v>-</v>
      </c>
      <c r="J392" s="145" t="str">
        <f>IF(SP_SUL!I395="","*",SP_SUL!I395)</f>
        <v>-</v>
      </c>
      <c r="K392" s="139" t="str">
        <f>IF(SP_SUL!M395="","*",SP_SUL!M395)</f>
        <v>ZGM-109</v>
      </c>
      <c r="L392" s="139">
        <f>IF(SP_SUL!N395="","*",SP_SUL!N395)</f>
        <v>1131121</v>
      </c>
      <c r="M392" s="140">
        <f>IF(SP_SUL!J395="","*",SP_SUL!J395)</f>
        <v>30</v>
      </c>
      <c r="N392" s="144">
        <f>IF(SP_SUL!K395="","*",SP_SUL!K395)</f>
        <v>113</v>
      </c>
      <c r="O392" s="144" t="str">
        <f>IF(SP_SUL!L395="","*",SP_SUL!L395)</f>
        <v>-</v>
      </c>
      <c r="P392" s="143">
        <f>IF(SP_SUL!O395="","*",SP_SUL!O395)</f>
        <v>0.41666666666666669</v>
      </c>
      <c r="Q392" s="143">
        <f>IF(SP_SUL!P395="","*",SP_SUL!P395)</f>
        <v>6.25E-2</v>
      </c>
      <c r="R392" s="145" t="str">
        <f>IF(SP_SUL!Q395="","*",CONCATENATE(SP_SUL!Q395," ",SP_SUL!R395))</f>
        <v>30 M</v>
      </c>
      <c r="S392" s="145" t="str">
        <f>IF(SP_SUL!V395="","*",SP_SUL!V395)</f>
        <v>Moises</v>
      </c>
      <c r="T392" s="145" t="str">
        <f>IF(SP_SUL!W395="","*",SP_SUL!W395)</f>
        <v>Limpeza de lastro</v>
      </c>
      <c r="U392" s="137">
        <f ca="1">_xlfn.XLOOKUP(G392&amp;$U$2,BS_CONTROLE[CHAVE],BS_CONTROLE[Quantidade_11],"-")</f>
        <v>52</v>
      </c>
      <c r="V392" s="137">
        <f ca="1">_xlfn.XLOOKUP(G392&amp;$V$2,BS_CONTROLE[CHAVE],BS_CONTROLE[Quantidade_11],"-")</f>
        <v>0</v>
      </c>
      <c r="W392" s="137">
        <f ca="1">_xlfn.XLOOKUP(G392&amp;$W$2,BS_CONTROLE[CHAVE],BS_CONTROLE[Quantidade_11],"-")</f>
        <v>0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ZEV-ZPT</v>
      </c>
      <c r="F393" s="145">
        <f>IF(SP_SUL!B396="","*",SP_SUL!B396)</f>
        <v>46093</v>
      </c>
      <c r="G393" s="145" t="str">
        <f>IF(SP_SUL!D396="","*",SP_SUL!D396)</f>
        <v>A84</v>
      </c>
      <c r="H393" s="145" t="str">
        <f>IF(SP_SUL!F396="","*",SP_SUL!F396)</f>
        <v>DETECÇÃO - RONDA 7 DIAS</v>
      </c>
      <c r="I393" s="145" t="str">
        <f>IF(SP_SUL!H396="","*",SP_SUL!H396)</f>
        <v>ZPT105-1</v>
      </c>
      <c r="J393" s="145" t="str">
        <f>IF(SP_SUL!I396="","*",SP_SUL!I396)</f>
        <v>ZEV-1</v>
      </c>
      <c r="K393" s="139" t="str">
        <f>IF(SP_SUL!M396="","*",SP_SUL!M396)</f>
        <v>ZPT-ZEV</v>
      </c>
      <c r="L393" s="139" t="str">
        <f>IF(SP_SUL!N396="","*",SP_SUL!N396)</f>
        <v>ZPT-ZEV</v>
      </c>
      <c r="M393" s="140">
        <f>IF(SP_SUL!J396="","*",SP_SUL!J396)</f>
        <v>54</v>
      </c>
      <c r="N393" s="144">
        <f>IF(SP_SUL!K396="","*",SP_SUL!K396)</f>
        <v>106</v>
      </c>
      <c r="O393" s="144" t="str">
        <f>IF(SP_SUL!L396="","*",SP_SUL!L396)</f>
        <v>*</v>
      </c>
      <c r="P393" s="143">
        <f>IF(SP_SUL!O396="","*",SP_SUL!O396)</f>
        <v>0.3125</v>
      </c>
      <c r="Q393" s="143">
        <f>IF(SP_SUL!P396="","*",SP_SUL!P396)</f>
        <v>4.1666666666666664E-2</v>
      </c>
      <c r="R393" s="145" t="str">
        <f>IF(SP_SUL!Q396="","*",CONCATENATE(SP_SUL!Q396," ",SP_SUL!R396))</f>
        <v>1 KM</v>
      </c>
      <c r="S393" s="145" t="str">
        <f>IF(SP_SUL!V396="","*",SP_SUL!V396)</f>
        <v>Jhon</v>
      </c>
      <c r="T393" s="145" t="str">
        <f>IF(SP_SUL!W396="","*",SP_SUL!W396)</f>
        <v>R7D</v>
      </c>
      <c r="U393" s="137">
        <f ca="1">_xlfn.XLOOKUP(G393&amp;$U$2,BS_CONTROLE[CHAVE],BS_CONTROLE[Quantidade_11],"-")</f>
        <v>60</v>
      </c>
      <c r="V393" s="137">
        <f ca="1">_xlfn.XLOOKUP(G393&amp;$V$2,BS_CONTROLE[CHAVE],BS_CONTROLE[Quantidade_11],"-")</f>
        <v>40</v>
      </c>
      <c r="W393" s="137">
        <f ca="1">_xlfn.XLOOKUP(G393&amp;$W$2,BS_CONTROLE[CHAVE],BS_CONTROLE[Quantidade_11],"-")</f>
        <v>82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0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>
        <f ca="1">_xlfn.XLOOKUP(G768&amp;$V$2,BS_CONTROLE[CHAVE],BS_CONTROLE[Quantidade_11],"-")</f>
        <v>0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>
        <f ca="1">_xlfn.XLOOKUP(G997&amp;$U$2,BS_CONTROLE[CHAVE],BS_CONTROLE[Quantidade_11],"-")</f>
        <v>0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2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1597</v>
      </c>
      <c r="D5" s="236"/>
      <c r="E5" s="236"/>
      <c r="F5" s="236"/>
      <c r="G5" s="236"/>
      <c r="H5" s="236"/>
      <c r="I5" s="236"/>
      <c r="J5" s="237"/>
      <c r="K5" s="238" t="s">
        <v>1598</v>
      </c>
      <c r="L5" s="239"/>
      <c r="M5" s="239"/>
      <c r="N5" s="239"/>
      <c r="O5" s="240" t="s">
        <v>1599</v>
      </c>
      <c r="P5" s="241"/>
    </row>
    <row r="6" spans="1:16" s="74" customFormat="1" ht="15" customHeight="1">
      <c r="A6" s="66" t="s">
        <v>1595</v>
      </c>
      <c r="B6" s="75" t="s">
        <v>1594</v>
      </c>
      <c r="C6" s="76" t="s">
        <v>961</v>
      </c>
      <c r="D6" s="77" t="s">
        <v>962</v>
      </c>
      <c r="E6" s="76" t="s">
        <v>1600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1601</v>
      </c>
      <c r="M6" s="80" t="s">
        <v>576</v>
      </c>
      <c r="N6" s="81" t="s">
        <v>956</v>
      </c>
      <c r="O6" s="158" t="s">
        <v>999</v>
      </c>
      <c r="P6" s="133" t="s">
        <v>1602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>
        <f>IF(SP_SUL!BH331="","*",SP_SUL!BH331)</f>
        <v>2</v>
      </c>
      <c r="P331" s="147" t="str">
        <f>IF($A$2=1,IF(SP_SUL!BJ331="","*",SP_SUL!BJ331),IF(SP_SUL!BK331="","*",SP_SUL!BK331))</f>
        <v>MC1 11h13 / autorizado entrada na via 11h20 / Em deslocamento para ZFH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>
        <f>IF(SP_SUL!BH332="","*",SP_SUL!BH332)</f>
        <v>0</v>
      </c>
      <c r="P332" s="147" t="str">
        <f>IF($A$2=1,IF(SP_SUL!BJ332="","*",SP_SUL!BJ332),IF(SP_SUL!BK332="","*",SP_SUL!BK332))</f>
        <v>MC às 10h14 devido à queda de sistema, ocasionando perda de faixa.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>
        <f>IF(SP_SUL!BH334="","*",SP_SUL!BH334)</f>
        <v>0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2</v>
      </c>
      <c r="P339" s="147" t="str">
        <f>IF($A$2=1,IF(SP_SUL!BJ339="","*",SP_SUL!BJ339),IF(SP_SUL!BK339="","*",SP_SUL!BK339))</f>
        <v>Realizado inspeção R7D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2</v>
      </c>
      <c r="P341" s="147" t="str">
        <f>IF($A$2=1,IF(SP_SUL!BJ341="","*",SP_SUL!BJ341),IF(SP_SUL!BK341="","*",SP_SUL!BK341))</f>
        <v>Realizado intervalo bloco das 09h20 até 17h20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2</v>
      </c>
      <c r="P342" s="147" t="str">
        <f>IF($A$2=1,IF(SP_SUL!BJ342="","*",SP_SUL!BJ342),IF(SP_SUL!BK342="","*",SP_SUL!BK342))</f>
        <v>Realizado intervalo bloco das 09h20 até 17h20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2</v>
      </c>
      <c r="P343" s="147" t="str">
        <f>IF($A$2=1,IF(SP_SUL!BJ343="","*",SP_SUL!BJ343),IF(SP_SUL!BK343="","*",SP_SUL!BK343))</f>
        <v>Realizado intervalo bloco das 09h20 até 17h20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2</v>
      </c>
      <c r="P344" s="147" t="str">
        <f>IF($A$2=1,IF(SP_SUL!BJ344="","*",SP_SUL!BJ344),IF(SP_SUL!BK344="","*",SP_SUL!BK344))</f>
        <v>Avariou em inspeção no km123+605 via 1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ZYQ-ZEM</v>
      </c>
      <c r="M345" s="83">
        <f>IF(SP_SUL!AP345="","*",SP_SUL!AP345)</f>
        <v>128</v>
      </c>
      <c r="N345" s="83" t="str">
        <f>IF(SP_SUL!AM345="","*",SP_SUL!AM345)</f>
        <v>ZYQ-ZEM</v>
      </c>
      <c r="O345" s="110">
        <f>IF(SP_SUL!BH345="","*",SP_SUL!BH345)</f>
        <v>2</v>
      </c>
      <c r="P345" s="147" t="str">
        <f>IF($A$2=1,IF(SP_SUL!BJ345="","*",SP_SUL!BJ345),IF(SP_SUL!BK345="","*",SP_SUL!BK345))</f>
        <v>Devido à concessão do intervalo no bloco ZYQ x ZEM, foi alterada a programação para posicionamento de dormentes no km 128+000, via 2. Intervalo realizado.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2</v>
      </c>
      <c r="P346" s="147" t="str">
        <f>IF($A$2=1,IF(SP_SUL!BJ346="","*",SP_SUL!BJ346),IF(SP_SUL!BK346="","*",SP_SUL!BK346))</f>
        <v>Em intervalo das 09h20 até 17h20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6.9444444444444447E-4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bloco das 09h20 até 17h20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(TP-780)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6.9444444444444447E-4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2</v>
      </c>
      <c r="P348" s="147" t="str">
        <f>IF($A$2=1,IF(SP_SUL!BJ348="","*",SP_SUL!BJ348),IF(SP_SUL!BK348="","*",SP_SUL!BK348))</f>
        <v>Realizado intervalo bloco das 09h20 até 17h20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2</v>
      </c>
      <c r="P352" s="147" t="str">
        <f>IF($A$2=1,IF(SP_SUL!BJ352="","*",SP_SUL!BJ352),IF(SP_SUL!BK352="","*",SP_SUL!BK352))</f>
        <v xml:space="preserve">MC1  07h38 / Em inspeção / 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>
        <f>IF(SP_SUL!BH353="","*",SP_SUL!BH353)</f>
        <v>0</v>
      </c>
      <c r="P353" s="147" t="str">
        <f>IF($A$2=1,IF(SP_SUL!BJ353="","*",SP_SUL!BJ353),IF(SP_SUL!BK353="","*",SP_SUL!BK353))</f>
        <v>Alterado programação para via1 / TP pronto 09h27 / Sem oportunidade de faixa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TP pronto 09h03 / Sem oportundiade de faixa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>
        <f>IF(SP_SUL!BH355="","*",SP_SUL!BH355)</f>
        <v>0</v>
      </c>
      <c r="P355" s="147" t="str">
        <f>IF($A$2=1,IF(SP_SUL!BJ355="","*",SP_SUL!BJ355),IF(SP_SUL!BK355="","*",SP_SUL!BK355))</f>
        <v>TP pronto 09h02 / Sem oportunidade de faixa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2</v>
      </c>
      <c r="P357" s="147" t="str">
        <f>IF($A$2=1,IF(SP_SUL!BJ357="","*",SP_SUL!BJ357),IF(SP_SUL!BK357="","*",SP_SUL!BK357))</f>
        <v>TP pronto 08h10 / Realizado intervalo das 09h24 até 10h24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2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>
        <f>IF(SP_SUL!BH360="","*",SP_SUL!BH360)</f>
        <v>0</v>
      </c>
      <c r="P360" s="147" t="str">
        <f>IF($A$2=1,IF(SP_SUL!BJ360="","*",SP_SUL!BJ360),IF(SP_SUL!BK360="","*",SP_SUL!BK360))</f>
        <v>Condições climáticas (chuva)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8.3333333333333329E-2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ZBV-ZRX</v>
      </c>
      <c r="E362" s="83" t="str">
        <f>IF(SP_SUL!D362="","*",SP_SUL!D362)</f>
        <v>A74</v>
      </c>
      <c r="F362" s="83" t="str">
        <f>IF(SP_SUL!H362="","*",SP_SUL!H362)</f>
        <v>ZBVZQB</v>
      </c>
      <c r="G362" s="83" t="str">
        <f>IF(SP_SUL!M362="","*",SP_SUL!M362)</f>
        <v>ZQBZBV-ZRX</v>
      </c>
      <c r="H362" s="116">
        <f>IF(SP_SUL!K362="","*",SP_SUL!K362)</f>
        <v>52</v>
      </c>
      <c r="I362" s="113">
        <f>IF(SP_SUL!O362="","*",SP_SUL!O362)</f>
        <v>0.33333333333333331</v>
      </c>
      <c r="J362" s="113">
        <f>IF(SP_SUL!P362="","*",SP_SUL!P362)</f>
        <v>4.1666666666666664E-2</v>
      </c>
      <c r="K362" s="83" t="str">
        <f>IF(SP_SUL!AK362="","*",SP_SUL!AK362)</f>
        <v>ZBVZQB</v>
      </c>
      <c r="L362" s="83" t="str">
        <f>IF(SP_SUL!AM362="","*",SP_SUL!AM362)</f>
        <v>ZQBZBV-ZRX</v>
      </c>
      <c r="M362" s="83">
        <f>IF(SP_SUL!AP362="","*",SP_SUL!AP362)</f>
        <v>52</v>
      </c>
      <c r="N362" s="83" t="str">
        <f>IF(SP_SUL!AM362="","*",SP_SUL!AM362)</f>
        <v>ZQBZBV-ZRX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46093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ZBV-ZKE</v>
      </c>
      <c r="E364" s="83" t="str">
        <f>IF(SP_SUL!D364="","*",SP_SUL!D364)</f>
        <v>W59</v>
      </c>
      <c r="F364" s="83" t="str">
        <f>IF(SP_SUL!H364="","*",SP_SUL!H364)</f>
        <v>ZYU-1</v>
      </c>
      <c r="G364" s="83" t="str">
        <f>IF(SP_SUL!M364="","*",SP_SUL!M364)</f>
        <v>ZQB-ZBV</v>
      </c>
      <c r="H364" s="116">
        <f>IF(SP_SUL!K364="","*",SP_SUL!K364)</f>
        <v>253.7</v>
      </c>
      <c r="I364" s="113">
        <f>IF(SP_SUL!O364="","*",SP_SUL!O364)</f>
        <v>0.33333333333333331</v>
      </c>
      <c r="J364" s="113">
        <f>IF(SP_SUL!P364="","*",SP_SUL!P364)</f>
        <v>6.25E-2</v>
      </c>
      <c r="K364" s="83" t="str">
        <f>IF(SP_SUL!AK364="","*",SP_SUL!AK364)</f>
        <v>ZYU-1</v>
      </c>
      <c r="L364" s="83" t="str">
        <f>IF(SP_SUL!AM364="","*",SP_SUL!AM364)</f>
        <v>ZQB-ZBV</v>
      </c>
      <c r="M364" s="83">
        <f>IF(SP_SUL!AP364="","*",SP_SUL!AP364)</f>
        <v>253.7</v>
      </c>
      <c r="N364" s="83" t="str">
        <f>IF(SP_SUL!AM364="","*",SP_SUL!AM364)</f>
        <v>ZQB-ZBV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>
        <f>IF(SP_SUL!B365="","*",SP_SUL!B365)</f>
        <v>46093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ZBV-ZKE</v>
      </c>
      <c r="E365" s="83" t="str">
        <f>IF(SP_SUL!D365="","*",SP_SUL!D365)</f>
        <v>JOSÉ (TP-879)</v>
      </c>
      <c r="F365" s="83" t="str">
        <f>IF(SP_SUL!H365="","*",SP_SUL!H365)</f>
        <v>-</v>
      </c>
      <c r="G365" s="83" t="str">
        <f>IF(SP_SUL!M365="","*",SP_SUL!M365)</f>
        <v>ZQB-ZBV</v>
      </c>
      <c r="H365" s="116">
        <f>IF(SP_SUL!K365="","*",SP_SUL!K365)</f>
        <v>253.7</v>
      </c>
      <c r="I365" s="113">
        <f>IF(SP_SUL!O365="","*",SP_SUL!O365)</f>
        <v>0.375</v>
      </c>
      <c r="J365" s="113">
        <f>IF(SP_SUL!P365="","*",SP_SUL!P365)</f>
        <v>6.25E-2</v>
      </c>
      <c r="K365" s="83" t="str">
        <f>IF(SP_SUL!AK365="","*",SP_SUL!AK365)</f>
        <v>-</v>
      </c>
      <c r="L365" s="83" t="str">
        <f>IF(SP_SUL!AM365="","*",SP_SUL!AM365)</f>
        <v>ZQB-ZBV</v>
      </c>
      <c r="M365" s="83">
        <f>IF(SP_SUL!AP365="","*",SP_SUL!AP365)</f>
        <v>253.7</v>
      </c>
      <c r="N365" s="83" t="str">
        <f>IF(SP_SUL!AM365="","*",SP_SUL!AM365)</f>
        <v>ZQB-ZBV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>
        <f>IF(SP_SUL!B366="","*",SP_SUL!B366)</f>
        <v>46093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ZBV-ZKE</v>
      </c>
      <c r="E366" s="83" t="str">
        <f>IF(SP_SUL!D366="","*",SP_SUL!D366)</f>
        <v>EDSON/NIVALDO (TP-819)</v>
      </c>
      <c r="F366" s="83" t="str">
        <f>IF(SP_SUL!H366="","*",SP_SUL!H366)</f>
        <v>-</v>
      </c>
      <c r="G366" s="83" t="str">
        <f>IF(SP_SUL!M366="","*",SP_SUL!M366)</f>
        <v>ZXI-ZVK</v>
      </c>
      <c r="H366" s="116">
        <f>IF(SP_SUL!K366="","*",SP_SUL!K366)</f>
        <v>224.45</v>
      </c>
      <c r="I366" s="113">
        <f>IF(SP_SUL!O366="","*",SP_SUL!O366)</f>
        <v>0.375</v>
      </c>
      <c r="J366" s="113">
        <f>IF(SP_SUL!P366="","*",SP_SUL!P366)</f>
        <v>6.25E-2</v>
      </c>
      <c r="K366" s="83" t="str">
        <f>IF(SP_SUL!AK366="","*",SP_SUL!AK366)</f>
        <v>-</v>
      </c>
      <c r="L366" s="83" t="str">
        <f>IF(SP_SUL!AM366="","*",SP_SUL!AM366)</f>
        <v>ZXI-ZVK</v>
      </c>
      <c r="M366" s="83">
        <f>IF(SP_SUL!AP366="","*",SP_SUL!AP366)</f>
        <v>224.45</v>
      </c>
      <c r="N366" s="83" t="str">
        <f>IF(SP_SUL!AM366="","*",SP_SUL!AM366)</f>
        <v>ZXI-ZVK</v>
      </c>
      <c r="O366" s="110">
        <f>IF(SP_SUL!BH366="","*",SP_SUL!BH366)</f>
        <v>0</v>
      </c>
      <c r="P366" s="147" t="str">
        <f>IF($A$2=1,IF(SP_SUL!BJ366="","*",SP_SUL!BJ366),IF(SP_SUL!BK366="","*",SP_SUL!BK366))</f>
        <v>Condições climáticas (chuva)</v>
      </c>
    </row>
    <row r="367" spans="1:16">
      <c r="A367" s="82">
        <f>IF(SP_SUL!B367="","*",SP_SUL!B367)</f>
        <v>46093</v>
      </c>
      <c r="B367" s="83" t="str">
        <f>IF(SP_SUL!X367="","*",SP_SUL!X367)</f>
        <v>Oportunidade</v>
      </c>
      <c r="C367" s="83" t="str">
        <f>IF(SP_SUL!S367="","*",SP_SUL!S367)</f>
        <v>SP SUL</v>
      </c>
      <c r="D367" s="83" t="str">
        <f>IF(SP_SUL!T367="","*",SP_SUL!T367)</f>
        <v>ZBV-ZKE</v>
      </c>
      <c r="E367" s="83" t="str">
        <f>IF(SP_SUL!D367="","*",SP_SUL!D367)</f>
        <v>ROGÉRIO (TP-730)</v>
      </c>
      <c r="F367" s="83" t="str">
        <f>IF(SP_SUL!H367="","*",SP_SUL!H367)</f>
        <v>ZYU1</v>
      </c>
      <c r="G367" s="83" t="str">
        <f>IF(SP_SUL!M367="","*",SP_SUL!M367)</f>
        <v>ZYU</v>
      </c>
      <c r="H367" s="116">
        <f>IF(SP_SUL!K367="","*",SP_SUL!K367)</f>
        <v>202.45</v>
      </c>
      <c r="I367" s="113">
        <f>IF(SP_SUL!O367="","*",SP_SUL!O367)</f>
        <v>0.375</v>
      </c>
      <c r="J367" s="113">
        <f>IF(SP_SUL!P367="","*",SP_SUL!P367)</f>
        <v>6.25E-2</v>
      </c>
      <c r="K367" s="83" t="str">
        <f>IF(SP_SUL!AK367="","*",SP_SUL!AK367)</f>
        <v>ZYU1</v>
      </c>
      <c r="L367" s="83" t="str">
        <f>IF(SP_SUL!AM367="","*",SP_SUL!AM367)</f>
        <v>ZYU</v>
      </c>
      <c r="M367" s="83">
        <f>IF(SP_SUL!AP367="","*",SP_SUL!AP367)</f>
        <v>202.45</v>
      </c>
      <c r="N367" s="83" t="str">
        <f>IF(SP_SUL!AM367="","*",SP_SUL!AM367)</f>
        <v>ZYU</v>
      </c>
      <c r="O367" s="110" t="str">
        <f>IF(SP_SUL!BH367="","*",SP_SUL!BH367)</f>
        <v>*</v>
      </c>
      <c r="P367" s="147" t="str">
        <f>IF($A$2=1,IF(SP_SUL!BJ369="","*",SP_SUL!BJ369),IF(SP_SUL!BK367="","*",SP_SUL!BK367))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ZBV-ZKE</v>
      </c>
      <c r="E368" s="83" t="str">
        <f>IF(SP_SUL!D368="","*",SP_SUL!D368)</f>
        <v>V93</v>
      </c>
      <c r="F368" s="83" t="str">
        <f>IF(SP_SUL!H368="","*",SP_SUL!H368)</f>
        <v>ZXP-2</v>
      </c>
      <c r="G368" s="83" t="str">
        <f>IF(SP_SUL!M368="","*",SP_SUL!M368)</f>
        <v>ZXP-ZFY</v>
      </c>
      <c r="H368" s="116">
        <f>IF(SP_SUL!K368="","*",SP_SUL!K368)</f>
        <v>190.07</v>
      </c>
      <c r="I368" s="113">
        <f>IF(SP_SUL!O368="","*",SP_SUL!O368)</f>
        <v>0.39583333333333331</v>
      </c>
      <c r="J368" s="113">
        <f>IF(SP_SUL!P368="","*",SP_SUL!P368)</f>
        <v>8.3333333333333329E-2</v>
      </c>
      <c r="K368" s="83" t="str">
        <f>IF(SP_SUL!AK368="","*",SP_SUL!AK368)</f>
        <v>ZXP-2</v>
      </c>
      <c r="L368" s="83" t="str">
        <f>IF(SP_SUL!AM368="","*",SP_SUL!AM368)</f>
        <v>ZXP-ZFY</v>
      </c>
      <c r="M368" s="83">
        <f>IF(SP_SUL!AP368="","*",SP_SUL!AP368)</f>
        <v>190.07</v>
      </c>
      <c r="N368" s="83" t="str">
        <f>IF(SP_SUL!AM368="","*",SP_SUL!AM368)</f>
        <v>ZXP-ZFY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>
        <f>IF(SP_SUL!B369="","*",SP_SUL!B369)</f>
        <v>46093</v>
      </c>
      <c r="B369" s="83" t="str">
        <f>IF(SP_SUL!X369="","*",SP_SUL!X369)</f>
        <v>Oportunidade</v>
      </c>
      <c r="C369" s="83" t="str">
        <f>IF(SP_SUL!S369="","*",SP_SUL!S369)</f>
        <v>SP SUL</v>
      </c>
      <c r="D369" s="83" t="str">
        <f>IF(SP_SUL!T369="","*",SP_SUL!T369)</f>
        <v>ZBV-ZKE</v>
      </c>
      <c r="E369" s="83" t="str">
        <f>IF(SP_SUL!D369="","*",SP_SUL!D369)</f>
        <v>ROBSON (TF-701)</v>
      </c>
      <c r="F369" s="83" t="str">
        <f>IF(SP_SUL!H369="","*",SP_SUL!H369)</f>
        <v>ZXP189</v>
      </c>
      <c r="G369" s="83" t="str">
        <f>IF(SP_SUL!M369="","*",SP_SUL!M369)</f>
        <v>ZXP-ZFY</v>
      </c>
      <c r="H369" s="116">
        <f>IF(SP_SUL!K369="","*",SP_SUL!K369)</f>
        <v>187.58</v>
      </c>
      <c r="I369" s="113">
        <f>IF(SP_SUL!O369="","*",SP_SUL!O369)</f>
        <v>0.41666666666666669</v>
      </c>
      <c r="J369" s="113">
        <f>IF(SP_SUL!P369="","*",SP_SUL!P369)</f>
        <v>6.25E-2</v>
      </c>
      <c r="K369" s="83" t="str">
        <f>IF(SP_SUL!AK369="","*",SP_SUL!AK369)</f>
        <v>ZXP189</v>
      </c>
      <c r="L369" s="83" t="str">
        <f>IF(SP_SUL!AM369="","*",SP_SUL!AM369)</f>
        <v>ZXP-ZFY</v>
      </c>
      <c r="M369" s="83">
        <f>IF(SP_SUL!AP369="","*",SP_SUL!AP369)</f>
        <v>187.58</v>
      </c>
      <c r="N369" s="83" t="str">
        <f>IF(SP_SUL!AM369="","*",SP_SUL!AM369)</f>
        <v>ZXP-ZFY</v>
      </c>
      <c r="O369" s="110">
        <f>IF(SP_SUL!BH369="","*",SP_SUL!BH369)</f>
        <v>0</v>
      </c>
      <c r="P369" s="147" t="str">
        <f>IF($A$2=1,IF(SP_SUL!#REF!="","*",SP_SUL!#REF!),IF(SP_SUL!BK369="","*",SP_SUL!BK369))</f>
        <v>Condições climáticas (chuva)</v>
      </c>
    </row>
    <row r="370" spans="1:16">
      <c r="A370" s="82">
        <f>IF(SP_SUL!B370="","*",SP_SUL!B370)</f>
        <v>46093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CARLOS (TP-722)</v>
      </c>
      <c r="F370" s="83" t="str">
        <f>IF(SP_SUL!H370="","*",SP_SUL!H370)</f>
        <v>-</v>
      </c>
      <c r="G370" s="83" t="str">
        <f>IF(SP_SUL!M370="","*",SP_SUL!M370)</f>
        <v>ZPS-ZCX</v>
      </c>
      <c r="H370" s="116">
        <f>IF(SP_SUL!K370="","*",SP_SUL!K370)</f>
        <v>158.4</v>
      </c>
      <c r="I370" s="113">
        <f>IF(SP_SUL!O370="","*",SP_SUL!O370)</f>
        <v>0.375</v>
      </c>
      <c r="J370" s="113">
        <f>IF(SP_SUL!P370="","*",SP_SUL!P370)</f>
        <v>6.25E-2</v>
      </c>
      <c r="K370" s="83" t="str">
        <f>IF(SP_SUL!AK370="","*",SP_SUL!AK370)</f>
        <v>-</v>
      </c>
      <c r="L370" s="83" t="str">
        <f>IF(SP_SUL!AM370="","*",SP_SUL!AM370)</f>
        <v>ZPS-ZCX</v>
      </c>
      <c r="M370" s="83">
        <f>IF(SP_SUL!AP370="","*",SP_SUL!AP370)</f>
        <v>158.4</v>
      </c>
      <c r="N370" s="83" t="str">
        <f>IF(SP_SUL!AM370="","*",SP_SUL!AM370)</f>
        <v>ZPS-ZCX</v>
      </c>
      <c r="O370" s="110">
        <f>IF(SP_SUL!BH370="","*",SP_SUL!BH370)</f>
        <v>0</v>
      </c>
      <c r="P370" s="147" t="str">
        <f>IF($A$2=1,IF(SP_SUL!BJ370="","*",SP_SUL!BJ370),IF(SP_SUL!BK370="","*",SP_SUL!BK370))</f>
        <v>Condições climáticas (chuva)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>
        <f>IF(SP_SUL!B372="","*",SP_SUL!B372)</f>
        <v>46093</v>
      </c>
      <c r="B372" s="83" t="str">
        <f>IF(SP_SUL!X372="","*",SP_SUL!X372)</f>
        <v>Oportunidade</v>
      </c>
      <c r="C372" s="83" t="str">
        <f>IF(SP_SUL!S372="","*",SP_SUL!S372)</f>
        <v>SP SUL</v>
      </c>
      <c r="D372" s="83" t="str">
        <f>IF(SP_SUL!T372="","*",SP_SUL!T372)</f>
        <v>ZKE-ZEV</v>
      </c>
      <c r="E372" s="83" t="str">
        <f>IF(SP_SUL!D372="","*",SP_SUL!D372)</f>
        <v>E17</v>
      </c>
      <c r="F372" s="83" t="str">
        <f>IF(SP_SUL!H372="","*",SP_SUL!H372)</f>
        <v>102ZKW-2</v>
      </c>
      <c r="G372" s="83" t="str">
        <f>IF(SP_SUL!M372="","*",SP_SUL!M372)</f>
        <v>ZLU</v>
      </c>
      <c r="H372" s="116">
        <f>IF(SP_SUL!K372="","*",SP_SUL!K372)</f>
        <v>106.432</v>
      </c>
      <c r="I372" s="113">
        <f>IF(SP_SUL!O372="","*",SP_SUL!O372)</f>
        <v>0.375</v>
      </c>
      <c r="J372" s="113">
        <f>IF(SP_SUL!P372="","*",SP_SUL!P372)</f>
        <v>0.125</v>
      </c>
      <c r="K372" s="83" t="str">
        <f>IF(SP_SUL!AK372="","*",SP_SUL!AK372)</f>
        <v>102ZKW-2</v>
      </c>
      <c r="L372" s="83" t="str">
        <f>IF(SP_SUL!AM372="","*",SP_SUL!AM372)</f>
        <v>ZLU</v>
      </c>
      <c r="M372" s="83">
        <f>IF(SP_SUL!AP372="","*",SP_SUL!AP372)</f>
        <v>106.432</v>
      </c>
      <c r="N372" s="83" t="str">
        <f>IF(SP_SUL!AM372="","*",SP_SUL!AM372)</f>
        <v>ZLU</v>
      </c>
      <c r="O372" s="110">
        <f>IF(SP_SUL!BH372="","*",SP_SUL!BH372)</f>
        <v>0</v>
      </c>
      <c r="P372" s="147" t="str">
        <f>IF($A$2=1,IF(SP_SUL!BJ372="","*",SP_SUL!BJ372),IF(SP_SUL!BK372="","*",SP_SUL!BK372))</f>
        <v>Cancelado, sem acesso no local de trabalho, devido chuva.</v>
      </c>
    </row>
    <row r="373" spans="1:16">
      <c r="A373" s="82">
        <f>IF(SP_SUL!B373="","*",SP_SUL!B373)</f>
        <v>46093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ZKE-ZEV</v>
      </c>
      <c r="E373" s="83" t="str">
        <f>IF(SP_SUL!D373="","*",SP_SUL!D373)</f>
        <v>W60</v>
      </c>
      <c r="F373" s="83" t="str">
        <f>IF(SP_SUL!H373="","*",SP_SUL!H373)</f>
        <v>ZEM130-2</v>
      </c>
      <c r="G373" s="83" t="str">
        <f>IF(SP_SUL!M373="","*",SP_SUL!M373)</f>
        <v>ZWI-ZYQ</v>
      </c>
      <c r="H373" s="116">
        <f>IF(SP_SUL!K373="","*",SP_SUL!K373)</f>
        <v>124.5</v>
      </c>
      <c r="I373" s="113">
        <f>IF(SP_SUL!O373="","*",SP_SUL!O373)</f>
        <v>0.35416666666666669</v>
      </c>
      <c r="J373" s="113">
        <f>IF(SP_SUL!P373="","*",SP_SUL!P373)</f>
        <v>2.7777777777777776E-2</v>
      </c>
      <c r="K373" s="83" t="str">
        <f>IF(SP_SUL!AK373="","*",SP_SUL!AK373)</f>
        <v>ZEM130-2</v>
      </c>
      <c r="L373" s="83" t="str">
        <f>IF(SP_SUL!AM373="","*",SP_SUL!AM373)</f>
        <v>ZEM-ZKE</v>
      </c>
      <c r="M373" s="83">
        <f>IF(SP_SUL!AP373="","*",SP_SUL!AP373)</f>
        <v>132</v>
      </c>
      <c r="N373" s="83" t="str">
        <f>IF(SP_SUL!AM373="","*",SP_SUL!AM373)</f>
        <v>ZEM-ZKE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>
        <f>IF(SP_SUL!B374="","*",SP_SUL!B374)</f>
        <v>46093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ZKE-ZEV</v>
      </c>
      <c r="E374" s="83" t="str">
        <f>IF(SP_SUL!D374="","*",SP_SUL!D374)</f>
        <v>EDSON (TP-719)</v>
      </c>
      <c r="F374" s="83" t="str">
        <f>IF(SP_SUL!H374="","*",SP_SUL!H374)</f>
        <v>-</v>
      </c>
      <c r="G374" s="83" t="str">
        <f>IF(SP_SUL!M374="","*",SP_SUL!M374)</f>
        <v>ZYQ-ZEM</v>
      </c>
      <c r="H374" s="116">
        <f>IF(SP_SUL!K374="","*",SP_SUL!K374)</f>
        <v>129.16999999999999</v>
      </c>
      <c r="I374" s="113">
        <f>IF(SP_SUL!O374="","*",SP_SUL!O374)</f>
        <v>0.375</v>
      </c>
      <c r="J374" s="113">
        <f>IF(SP_SUL!P374="","*",SP_SUL!P374)</f>
        <v>8.3333333333333329E-2</v>
      </c>
      <c r="K374" s="83" t="str">
        <f>IF(SP_SUL!AK374="","*",SP_SUL!AK374)</f>
        <v>-</v>
      </c>
      <c r="L374" s="83" t="str">
        <f>IF(SP_SUL!AM374="","*",SP_SUL!AM374)</f>
        <v>ZYQ-ZEM</v>
      </c>
      <c r="M374" s="83">
        <f>IF(SP_SUL!AP374="","*",SP_SUL!AP374)</f>
        <v>129.16999999999999</v>
      </c>
      <c r="N374" s="83" t="str">
        <f>IF(SP_SUL!AM374="","*",SP_SUL!AM374)</f>
        <v>ZYQ-ZEM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>
        <f>IF(SP_SUL!B375="","*",SP_SUL!B375)</f>
        <v>46093</v>
      </c>
      <c r="B375" s="83" t="str">
        <f>IF(SP_SUL!X375="","*",SP_SUL!X375)</f>
        <v>Oportunidade</v>
      </c>
      <c r="C375" s="83" t="str">
        <f>IF(SP_SUL!S375="","*",SP_SUL!S375)</f>
        <v>SP SUL</v>
      </c>
      <c r="D375" s="83" t="str">
        <f>IF(SP_SUL!T375="","*",SP_SUL!T375)</f>
        <v>ZKE-ZEV</v>
      </c>
      <c r="E375" s="83" t="str">
        <f>IF(SP_SUL!D375="","*",SP_SUL!D375)</f>
        <v>EDSON (TP-719)</v>
      </c>
      <c r="F375" s="83" t="str">
        <f>IF(SP_SUL!H375="","*",SP_SUL!H375)</f>
        <v>-</v>
      </c>
      <c r="G375" s="83" t="str">
        <f>IF(SP_SUL!M375="","*",SP_SUL!M375)</f>
        <v>ZYQ-ZEM</v>
      </c>
      <c r="H375" s="116">
        <f>IF(SP_SUL!K375="","*",SP_SUL!K375)</f>
        <v>130.6</v>
      </c>
      <c r="I375" s="113">
        <f>IF(SP_SUL!O375="","*",SP_SUL!O375)</f>
        <v>0.375</v>
      </c>
      <c r="J375" s="113">
        <f>IF(SP_SUL!P375="","*",SP_SUL!P375)</f>
        <v>8.3333333333333329E-2</v>
      </c>
      <c r="K375" s="83" t="str">
        <f>IF(SP_SUL!AK375="","*",SP_SUL!AK375)</f>
        <v>-</v>
      </c>
      <c r="L375" s="83" t="str">
        <f>IF(SP_SUL!AM375="","*",SP_SUL!AM375)</f>
        <v>ZYQ-ZEM</v>
      </c>
      <c r="M375" s="83">
        <f>IF(SP_SUL!AP375="","*",SP_SUL!AP375)</f>
        <v>130.6</v>
      </c>
      <c r="N375" s="83" t="str">
        <f>IF(SP_SUL!AM375="","*",SP_SUL!AM375)</f>
        <v>ZYQ-ZEM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>
        <f>IF(SP_SUL!B376="","*",SP_SUL!B376)</f>
        <v>46093</v>
      </c>
      <c r="B376" s="83" t="str">
        <f>IF(SP_SUL!X376="","*",SP_SUL!X376)</f>
        <v>Oportunidade</v>
      </c>
      <c r="C376" s="83" t="str">
        <f>IF(SP_SUL!S376="","*",SP_SUL!S376)</f>
        <v>SP SUL</v>
      </c>
      <c r="D376" s="83" t="str">
        <f>IF(SP_SUL!T376="","*",SP_SUL!T376)</f>
        <v>ZKE-ZEV</v>
      </c>
      <c r="E376" s="83" t="str">
        <f>IF(SP_SUL!D376="","*",SP_SUL!D376)</f>
        <v>V89</v>
      </c>
      <c r="F376" s="83" t="str">
        <f>IF(SP_SUL!H376="","*",SP_SUL!H376)</f>
        <v>ZEM130-1</v>
      </c>
      <c r="G376" s="83" t="str">
        <f>IF(SP_SUL!M376="","*",SP_SUL!M376)</f>
        <v>ZYQ-ZEM</v>
      </c>
      <c r="H376" s="116">
        <f>IF(SP_SUL!K376="","*",SP_SUL!K376)</f>
        <v>132.5</v>
      </c>
      <c r="I376" s="113">
        <f>IF(SP_SUL!O376="","*",SP_SUL!O376)</f>
        <v>0.38541666666666669</v>
      </c>
      <c r="J376" s="113">
        <f>IF(SP_SUL!P376="","*",SP_SUL!P376)</f>
        <v>8.3333333333333329E-2</v>
      </c>
      <c r="K376" s="83" t="str">
        <f>IF(SP_SUL!AK376="","*",SP_SUL!AK376)</f>
        <v>ZEM130-1</v>
      </c>
      <c r="L376" s="83" t="str">
        <f>IF(SP_SUL!AM376="","*",SP_SUL!AM376)</f>
        <v>ZYQ-ZEM</v>
      </c>
      <c r="M376" s="83">
        <f>IF(SP_SUL!AP376="","*",SP_SUL!AP376)</f>
        <v>132.5</v>
      </c>
      <c r="N376" s="83" t="str">
        <f>IF(SP_SUL!AM376="","*",SP_SUL!AM376)</f>
        <v>ZYQ-ZEM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46093</v>
      </c>
      <c r="B378" s="83" t="str">
        <f>IF(SP_SUL!X378="","*",SP_SUL!X378)</f>
        <v>Oportunidade</v>
      </c>
      <c r="C378" s="83" t="str">
        <f>IF(SP_SUL!S378="","*",SP_SUL!S378)</f>
        <v>SP SUL</v>
      </c>
      <c r="D378" s="83" t="str">
        <f>IF(SP_SUL!T378="","*",SP_SUL!T378)</f>
        <v>ZKE-ZEV</v>
      </c>
      <c r="E378" s="83" t="str">
        <f>IF(SP_SUL!D378="","*",SP_SUL!D378)</f>
        <v>MOD ZRB</v>
      </c>
      <c r="F378" s="83" t="str">
        <f>IF(SP_SUL!H378="","*",SP_SUL!H378)</f>
        <v>-</v>
      </c>
      <c r="G378" s="83" t="str">
        <f>IF(SP_SUL!M378="","*",SP_SUL!M378)</f>
        <v>ZEJ-ZRB</v>
      </c>
      <c r="H378" s="116">
        <f>IF(SP_SUL!K378="","*",SP_SUL!K378)</f>
        <v>145.9</v>
      </c>
      <c r="I378" s="113">
        <f>IF(SP_SUL!O378="","*",SP_SUL!O378)</f>
        <v>0.33333333333333331</v>
      </c>
      <c r="J378" s="113">
        <f>IF(SP_SUL!P378="","*",SP_SUL!P378)</f>
        <v>0.33333333333333331</v>
      </c>
      <c r="K378" s="83" t="str">
        <f>IF(SP_SUL!AK378="","*",SP_SUL!AK378)</f>
        <v>-</v>
      </c>
      <c r="L378" s="83" t="str">
        <f>IF(SP_SUL!AM378="","*",SP_SUL!AM378)</f>
        <v>ZEJ-ZRB</v>
      </c>
      <c r="M378" s="83">
        <f>IF(SP_SUL!AP378="","*",SP_SUL!AP378)</f>
        <v>145.9</v>
      </c>
      <c r="N378" s="83" t="str">
        <f>IF(SP_SUL!AM378="","*",SP_SUL!AM378)</f>
        <v>ZEJ-ZRB</v>
      </c>
      <c r="O378" s="110">
        <f>IF(SP_SUL!BH378="","*",SP_SUL!BH378)</f>
        <v>1</v>
      </c>
      <c r="P378" s="147" t="str">
        <f>IF($A$2=1,IF(SP_SUL!BJ378="","*",SP_SUL!BJ378),IF(SP_SUL!BK378="","*",SP_SUL!BK378))</f>
        <v>*</v>
      </c>
    </row>
    <row r="379" spans="1:16">
      <c r="A379" s="82">
        <f>IF(SP_SUL!B379="","*",SP_SUL!B379)</f>
        <v>46093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ZKE-ZEV</v>
      </c>
      <c r="E379" s="83" t="str">
        <f>IF(SP_SUL!D379="","*",SP_SUL!D379)</f>
        <v>W96</v>
      </c>
      <c r="F379" s="83" t="str">
        <f>IF(SP_SUL!H379="","*",SP_SUL!H379)</f>
        <v xml:space="preserve">ZEM1 </v>
      </c>
      <c r="G379" s="83" t="str">
        <f>IF(SP_SUL!M379="","*",SP_SUL!M379)</f>
        <v>ZEJ-ZEV</v>
      </c>
      <c r="H379" s="116">
        <f>IF(SP_SUL!K379="","*",SP_SUL!K379)</f>
        <v>147.52000000000001</v>
      </c>
      <c r="I379" s="113">
        <f>IF(SP_SUL!O379="","*",SP_SUL!O379)</f>
        <v>0.31944444444444442</v>
      </c>
      <c r="J379" s="113">
        <f>IF(SP_SUL!P379="","*",SP_SUL!P379)</f>
        <v>0</v>
      </c>
      <c r="K379" s="83" t="str">
        <f>IF(SP_SUL!AK379="","*",SP_SUL!AK379)</f>
        <v xml:space="preserve">ZEM1 </v>
      </c>
      <c r="L379" s="83" t="str">
        <f>IF(SP_SUL!AM379="","*",SP_SUL!AM379)</f>
        <v>ZEJ-ZEV</v>
      </c>
      <c r="M379" s="83">
        <f>IF(SP_SUL!AP379="","*",SP_SUL!AP379)</f>
        <v>147.52000000000001</v>
      </c>
      <c r="N379" s="83" t="str">
        <f>IF(SP_SUL!AM379="","*",SP_SUL!AM379)</f>
        <v>ZEJ-ZEV</v>
      </c>
      <c r="O379" s="110">
        <f>IF(SP_SUL!BH379="","*",SP_SUL!BH379)</f>
        <v>1</v>
      </c>
      <c r="P379" s="147" t="str">
        <f>IF($A$2=1,IF(SP_SUL!BJ379="","*",SP_SUL!BJ379),IF(SP_SUL!BK379="","*",SP_SUL!BK379))</f>
        <v>*</v>
      </c>
    </row>
    <row r="380" spans="1:16">
      <c r="A380" s="82">
        <f>IF(SP_SUL!B380="","*",SP_SUL!B380)</f>
        <v>46093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ZKE-ZEV</v>
      </c>
      <c r="E380" s="83" t="str">
        <f>IF(SP_SUL!D380="","*",SP_SUL!D380)</f>
        <v>W99</v>
      </c>
      <c r="F380" s="83" t="str">
        <f>IF(SP_SUL!H380="","*",SP_SUL!H380)</f>
        <v>ZEM1</v>
      </c>
      <c r="G380" s="83" t="str">
        <f>IF(SP_SUL!M380="","*",SP_SUL!M380)</f>
        <v>ZEJ-ZEV</v>
      </c>
      <c r="H380" s="116">
        <f>IF(SP_SUL!K380="","*",SP_SUL!K380)</f>
        <v>150.1</v>
      </c>
      <c r="I380" s="113">
        <f>IF(SP_SUL!O380="","*",SP_SUL!O380)</f>
        <v>0.30555555555555558</v>
      </c>
      <c r="J380" s="113">
        <f>IF(SP_SUL!P380="","*",SP_SUL!P380)</f>
        <v>0</v>
      </c>
      <c r="K380" s="83" t="str">
        <f>IF(SP_SUL!AK380="","*",SP_SUL!AK380)</f>
        <v>ZEM1</v>
      </c>
      <c r="L380" s="83" t="str">
        <f>IF(SP_SUL!AM380="","*",SP_SUL!AM380)</f>
        <v>ZEJ-ZEV</v>
      </c>
      <c r="M380" s="83">
        <f>IF(SP_SUL!AP380="","*",SP_SUL!AP380)</f>
        <v>150.1</v>
      </c>
      <c r="N380" s="83" t="str">
        <f>IF(SP_SUL!AM380="","*",SP_SUL!AM380)</f>
        <v>ZEJ-ZEV</v>
      </c>
      <c r="O380" s="110">
        <f>IF(SP_SUL!BH380="","*",SP_SUL!BH380)</f>
        <v>1</v>
      </c>
      <c r="P380" s="147" t="str">
        <f>IF($A$2=1,IF(SP_SUL!BJ380="","*",SP_SUL!BJ380),IF(SP_SUL!BK380="","*",SP_SUL!BK380))</f>
        <v>*</v>
      </c>
    </row>
    <row r="381" spans="1:16">
      <c r="A381" s="82">
        <f>IF(SP_SUL!B381="","*",SP_SUL!B381)</f>
        <v>46093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ZKE-ZEV</v>
      </c>
      <c r="E381" s="83" t="str">
        <f>IF(SP_SUL!D381="","*",SP_SUL!D381)</f>
        <v>V95</v>
      </c>
      <c r="F381" s="83" t="str">
        <f>IF(SP_SUL!H381="","*",SP_SUL!H381)</f>
        <v>ZEM1301</v>
      </c>
      <c r="G381" s="83" t="str">
        <f>IF(SP_SUL!M381="","*",SP_SUL!M381)</f>
        <v>ZEJ-ZEV</v>
      </c>
      <c r="H381" s="116">
        <f>IF(SP_SUL!K381="","*",SP_SUL!K381)</f>
        <v>150.15</v>
      </c>
      <c r="I381" s="113">
        <f>IF(SP_SUL!O381="","*",SP_SUL!O381)</f>
        <v>0.30555555555555558</v>
      </c>
      <c r="J381" s="113">
        <f>IF(SP_SUL!P381="","*",SP_SUL!P381)</f>
        <v>0</v>
      </c>
      <c r="K381" s="83" t="str">
        <f>IF(SP_SUL!AK381="","*",SP_SUL!AK381)</f>
        <v>ZEM1301</v>
      </c>
      <c r="L381" s="83" t="str">
        <f>IF(SP_SUL!AM381="","*",SP_SUL!AM381)</f>
        <v>ZEJ-ZEV</v>
      </c>
      <c r="M381" s="83">
        <f>IF(SP_SUL!AP381="","*",SP_SUL!AP381)</f>
        <v>150.15</v>
      </c>
      <c r="N381" s="83" t="str">
        <f>IF(SP_SUL!AM381="","*",SP_SUL!AM381)</f>
        <v>ZEJ-ZEV</v>
      </c>
      <c r="O381" s="110">
        <f>IF(SP_SUL!BH381="","*",SP_SUL!BH381)</f>
        <v>1</v>
      </c>
      <c r="P381" s="147" t="str">
        <f>IF($A$2=1,IF(SP_SUL!BJ381="","*",SP_SUL!BJ381),IF(SP_SUL!BK381="","*",SP_SUL!BK381))</f>
        <v>*</v>
      </c>
    </row>
    <row r="382" spans="1:16">
      <c r="A382" s="82">
        <f>IF(SP_SUL!B382="","*",SP_SUL!B382)</f>
        <v>46093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ZKE-ZEV</v>
      </c>
      <c r="E382" s="83" t="str">
        <f>IF(SP_SUL!D382="","*",SP_SUL!D382)</f>
        <v>W97</v>
      </c>
      <c r="F382" s="83" t="str">
        <f>IF(SP_SUL!H382="","*",SP_SUL!H382)</f>
        <v>Z3VZEV</v>
      </c>
      <c r="G382" s="83" t="str">
        <f>IF(SP_SUL!M382="","*",SP_SUL!M382)</f>
        <v>ZEJ-ZEV</v>
      </c>
      <c r="H382" s="116">
        <f>IF(SP_SUL!K382="","*",SP_SUL!K382)</f>
        <v>150.6</v>
      </c>
      <c r="I382" s="113">
        <f>IF(SP_SUL!O382="","*",SP_SUL!O382)</f>
        <v>0.30555555555555558</v>
      </c>
      <c r="J382" s="113">
        <f>IF(SP_SUL!P382="","*",SP_SUL!P382)</f>
        <v>0</v>
      </c>
      <c r="K382" s="83" t="str">
        <f>IF(SP_SUL!AK382="","*",SP_SUL!AK382)</f>
        <v>Z3VZEV</v>
      </c>
      <c r="L382" s="83" t="str">
        <f>IF(SP_SUL!AM382="","*",SP_SUL!AM382)</f>
        <v>ZEJ-ZEV</v>
      </c>
      <c r="M382" s="83">
        <f>IF(SP_SUL!AP382="","*",SP_SUL!AP382)</f>
        <v>150.6</v>
      </c>
      <c r="N382" s="83" t="str">
        <f>IF(SP_SUL!AM382="","*",SP_SUL!AM382)</f>
        <v>ZEJ-ZEV</v>
      </c>
      <c r="O382" s="110">
        <f>IF(SP_SUL!BH382="","*",SP_SUL!BH382)</f>
        <v>1</v>
      </c>
      <c r="P382" s="147" t="str">
        <f>IF($A$2=1,IF(SP_SUL!BJ382="","*",SP_SUL!BJ382),IF(SP_SUL!BK382="","*",SP_SUL!BK382))</f>
        <v>*</v>
      </c>
    </row>
    <row r="383" spans="1:16">
      <c r="A383" s="82">
        <f>IF(SP_SUL!B383="","*",SP_SUL!B383)</f>
        <v>46093</v>
      </c>
      <c r="B383" s="83" t="str">
        <f>IF(SP_SUL!X383="","*",SP_SUL!X383)</f>
        <v>Oportunidade</v>
      </c>
      <c r="C383" s="83" t="str">
        <f>IF(SP_SUL!S383="","*",SP_SUL!S383)</f>
        <v>SP SUL</v>
      </c>
      <c r="D383" s="83" t="str">
        <f>IF(SP_SUL!T383="","*",SP_SUL!T383)</f>
        <v>ZKE-ZEV</v>
      </c>
      <c r="E383" s="83" t="str">
        <f>IF(SP_SUL!D383="","*",SP_SUL!D383)</f>
        <v>V96</v>
      </c>
      <c r="F383" s="83" t="str">
        <f>IF(SP_SUL!H383="","*",SP_SUL!H383)</f>
        <v>Z3VZEV</v>
      </c>
      <c r="G383" s="83" t="str">
        <f>IF(SP_SUL!M383="","*",SP_SUL!M383)</f>
        <v>ZEJ-ZEV</v>
      </c>
      <c r="H383" s="116">
        <f>IF(SP_SUL!K383="","*",SP_SUL!K383)</f>
        <v>150.6</v>
      </c>
      <c r="I383" s="113">
        <f>IF(SP_SUL!O383="","*",SP_SUL!O383)</f>
        <v>0.30555555555555558</v>
      </c>
      <c r="J383" s="113">
        <f>IF(SP_SUL!P383="","*",SP_SUL!P383)</f>
        <v>0</v>
      </c>
      <c r="K383" s="83" t="str">
        <f>IF(SP_SUL!AK383="","*",SP_SUL!AK383)</f>
        <v>Z3VZEV</v>
      </c>
      <c r="L383" s="83" t="str">
        <f>IF(SP_SUL!AM383="","*",SP_SUL!AM383)</f>
        <v>ZEJ-ZEV</v>
      </c>
      <c r="M383" s="83">
        <f>IF(SP_SUL!AP383="","*",SP_SUL!AP383)</f>
        <v>150.6</v>
      </c>
      <c r="N383" s="83" t="str">
        <f>IF(SP_SUL!AM383="","*",SP_SUL!AM383)</f>
        <v>ZEJ-ZEV</v>
      </c>
      <c r="O383" s="110">
        <f>IF(SP_SUL!BH383="","*",SP_SUL!BH383)</f>
        <v>1</v>
      </c>
      <c r="P383" s="147" t="str">
        <f>IF($A$2=1,IF(SP_SUL!BJ383="","*",SP_SUL!BJ383),IF(SP_SUL!BK383="","*",SP_SUL!BK383))</f>
        <v>*</v>
      </c>
    </row>
    <row r="384" spans="1:16">
      <c r="A384" s="82">
        <f>IF(SP_SUL!B384="","*",SP_SUL!B384)</f>
        <v>46093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MODERNIZAÇÃO TURMA 2</v>
      </c>
      <c r="F384" s="83" t="str">
        <f>IF(SP_SUL!H384="","*",SP_SUL!H384)</f>
        <v>-</v>
      </c>
      <c r="G384" s="83" t="str">
        <f>IF(SP_SUL!M384="","*",SP_SUL!M384)</f>
        <v>ZEJ-ZEV</v>
      </c>
      <c r="H384" s="116">
        <f>IF(SP_SUL!K384="","*",SP_SUL!K384)</f>
        <v>148</v>
      </c>
      <c r="I384" s="113">
        <f>IF(SP_SUL!O384="","*",SP_SUL!O384)</f>
        <v>0.33333333333333331</v>
      </c>
      <c r="J384" s="113">
        <f>IF(SP_SUL!P384="","*",SP_SUL!P384)</f>
        <v>0</v>
      </c>
      <c r="K384" s="83" t="str">
        <f>IF(SP_SUL!AK384="","*",SP_SUL!AK384)</f>
        <v>-</v>
      </c>
      <c r="L384" s="83" t="str">
        <f>IF(SP_SUL!AM384="","*",SP_SUL!AM384)</f>
        <v>ZEJ-ZEV</v>
      </c>
      <c r="M384" s="83">
        <f>IF(SP_SUL!AP384="","*",SP_SUL!AP384)</f>
        <v>148</v>
      </c>
      <c r="N384" s="83" t="str">
        <f>IF(SP_SUL!AM384="","*",SP_SUL!AM384)</f>
        <v>ZEJ-ZEV</v>
      </c>
      <c r="O384" s="110">
        <f>IF(SP_SUL!BH384="","*",SP_SUL!BH384)</f>
        <v>1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46093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ZEV-ZPT</v>
      </c>
      <c r="E386" s="83" t="str">
        <f>IF(SP_SUL!D386="","*",SP_SUL!D386)</f>
        <v>JACIANO (TF-674)</v>
      </c>
      <c r="F386" s="83" t="str">
        <f>IF(SP_SUL!H386="","*",SP_SUL!H386)</f>
        <v>-</v>
      </c>
      <c r="G386" s="83" t="str">
        <f>IF(SP_SUL!M386="","*",SP_SUL!M386)</f>
        <v>ZEZ-069</v>
      </c>
      <c r="H386" s="116">
        <f>IF(SP_SUL!K386="","*",SP_SUL!K386)</f>
        <v>72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-</v>
      </c>
      <c r="L386" s="83" t="str">
        <f>IF(SP_SUL!AM386="","*",SP_SUL!AM386)</f>
        <v>ZEZ-069</v>
      </c>
      <c r="M386" s="83">
        <f>IF(SP_SUL!AP386="","*",SP_SUL!AP386)</f>
        <v>72</v>
      </c>
      <c r="N386" s="83" t="str">
        <f>IF(SP_SUL!AM386="","*",SP_SUL!AM386)</f>
        <v>ZEZ-069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>
        <f>IF(SP_SUL!B387="","*",SP_SUL!B387)</f>
        <v>46093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ZEV-ZPT</v>
      </c>
      <c r="E387" s="83" t="str">
        <f>IF(SP_SUL!D387="","*",SP_SUL!D387)</f>
        <v>MODERNIZAÇÃO TURMA 2</v>
      </c>
      <c r="F387" s="83" t="str">
        <f>IF(SP_SUL!H387="","*",SP_SUL!H387)</f>
        <v>-</v>
      </c>
      <c r="G387" s="83" t="str">
        <f>IF(SP_SUL!M387="","*",SP_SUL!M387)</f>
        <v>ZXW-ZEZ</v>
      </c>
      <c r="H387" s="116">
        <f>IF(SP_SUL!K387="","*",SP_SUL!K387)</f>
        <v>79.67</v>
      </c>
      <c r="I387" s="113">
        <f>IF(SP_SUL!O387="","*",SP_SUL!O387)</f>
        <v>0.34375</v>
      </c>
      <c r="J387" s="113">
        <f>IF(SP_SUL!P387="","*",SP_SUL!P387)</f>
        <v>6.25E-2</v>
      </c>
      <c r="K387" s="83" t="str">
        <f>IF(SP_SUL!AK387="","*",SP_SUL!AK387)</f>
        <v>-</v>
      </c>
      <c r="L387" s="83" t="str">
        <f>IF(SP_SUL!AM387="","*",SP_SUL!AM387)</f>
        <v>ZXW-ZEZ</v>
      </c>
      <c r="M387" s="83">
        <f>IF(SP_SUL!AP387="","*",SP_SUL!AP387)</f>
        <v>79.67</v>
      </c>
      <c r="N387" s="83" t="str">
        <f>IF(SP_SUL!AM387="","*",SP_SUL!AM387)</f>
        <v>ZXW-ZEZ</v>
      </c>
      <c r="O387" s="110">
        <f>IF(SP_SUL!BH387="","*",SP_SUL!BH387)</f>
        <v>0</v>
      </c>
      <c r="P387" s="147" t="str">
        <f>IF($A$2=1,IF(SP_SUL!BJ387="","*",SP_SUL!BJ387),IF(SP_SUL!BK387="","*",SP_SUL!BK387))</f>
        <v>Condições climáticas (chuva)</v>
      </c>
    </row>
    <row r="388" spans="1:16">
      <c r="A388" s="82">
        <f>IF(SP_SUL!B388="","*",SP_SUL!B388)</f>
        <v>46093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ZEV-ZPT</v>
      </c>
      <c r="E388" s="83" t="str">
        <f>IF(SP_SUL!D388="","*",SP_SUL!D388)</f>
        <v>CARLOS (TP-722)</v>
      </c>
      <c r="F388" s="83" t="str">
        <f>IF(SP_SUL!H388="","*",SP_SUL!H388)</f>
        <v>-</v>
      </c>
      <c r="G388" s="83" t="str">
        <f>IF(SP_SUL!M388="","*",SP_SUL!M388)</f>
        <v>ZXW</v>
      </c>
      <c r="H388" s="116">
        <f>IF(SP_SUL!K388="","*",SP_SUL!K388)</f>
        <v>82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ZXW</v>
      </c>
      <c r="M388" s="83">
        <f>IF(SP_SUL!AP388="","*",SP_SUL!AP388)</f>
        <v>82</v>
      </c>
      <c r="N388" s="83" t="str">
        <f>IF(SP_SUL!AM388="","*",SP_SUL!AM388)</f>
        <v>ZXW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>
        <f>IF(SP_SUL!B389="","*",SP_SUL!B389)</f>
        <v>46093</v>
      </c>
      <c r="B389" s="83" t="str">
        <f>IF(SP_SUL!X389="","*",SP_SUL!X389)</f>
        <v>Oportunidade</v>
      </c>
      <c r="C389" s="83" t="str">
        <f>IF(SP_SUL!S389="","*",SP_SUL!S389)</f>
        <v>SP SUL</v>
      </c>
      <c r="D389" s="83" t="str">
        <f>IF(SP_SUL!T389="","*",SP_SUL!T389)</f>
        <v>ZEV-ZPT</v>
      </c>
      <c r="E389" s="83" t="str">
        <f>IF(SP_SUL!D389="","*",SP_SUL!D389)</f>
        <v>RAFAEL (TP-695)</v>
      </c>
      <c r="F389" s="83" t="str">
        <f>IF(SP_SUL!H389="","*",SP_SUL!H389)</f>
        <v>-</v>
      </c>
      <c r="G389" s="83" t="str">
        <f>IF(SP_SUL!M389="","*",SP_SUL!M389)</f>
        <v>ZGP</v>
      </c>
      <c r="H389" s="116">
        <f>IF(SP_SUL!K389="","*",SP_SUL!K389)</f>
        <v>101.95</v>
      </c>
      <c r="I389" s="113">
        <f>IF(SP_SUL!O389="","*",SP_SUL!O389)</f>
        <v>0.375</v>
      </c>
      <c r="J389" s="113">
        <f>IF(SP_SUL!P389="","*",SP_SUL!P389)</f>
        <v>0.125</v>
      </c>
      <c r="K389" s="83" t="str">
        <f>IF(SP_SUL!AK389="","*",SP_SUL!AK389)</f>
        <v>-</v>
      </c>
      <c r="L389" s="83" t="str">
        <f>IF(SP_SUL!AM389="","*",SP_SUL!AM389)</f>
        <v>ZGP</v>
      </c>
      <c r="M389" s="83">
        <f>IF(SP_SUL!AP389="","*",SP_SUL!AP389)</f>
        <v>101.95</v>
      </c>
      <c r="N389" s="83" t="str">
        <f>IF(SP_SUL!AM389="","*",SP_SUL!AM389)</f>
        <v>ZGP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>
        <f>IF(SP_SUL!B390="","*",SP_SUL!B390)</f>
        <v>46093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ZEV-ZPT</v>
      </c>
      <c r="E390" s="83" t="str">
        <f>IF(SP_SUL!D390="","*",SP_SUL!D390)</f>
        <v>MOD ZGP</v>
      </c>
      <c r="F390" s="83" t="str">
        <f>IF(SP_SUL!H390="","*",SP_SUL!H390)</f>
        <v>-</v>
      </c>
      <c r="G390" s="83" t="str">
        <f>IF(SP_SUL!M390="","*",SP_SUL!M390)</f>
        <v>ZGP</v>
      </c>
      <c r="H390" s="116">
        <f>IF(SP_SUL!K390="","*",SP_SUL!K390)</f>
        <v>102</v>
      </c>
      <c r="I390" s="113">
        <f>IF(SP_SUL!O390="","*",SP_SUL!O390)</f>
        <v>0.33333333333333331</v>
      </c>
      <c r="J390" s="113">
        <f>IF(SP_SUL!P390="","*",SP_SUL!P390)</f>
        <v>0.22916666666666666</v>
      </c>
      <c r="K390" s="83" t="str">
        <f>IF(SP_SUL!AK390="","*",SP_SUL!AK390)</f>
        <v>-</v>
      </c>
      <c r="L390" s="83" t="str">
        <f>IF(SP_SUL!AM390="","*",SP_SUL!AM390)</f>
        <v>ZGP</v>
      </c>
      <c r="M390" s="83">
        <f>IF(SP_SUL!AP390="","*",SP_SUL!AP390)</f>
        <v>102</v>
      </c>
      <c r="N390" s="83" t="str">
        <f>IF(SP_SUL!AM390="","*",SP_SUL!AM390)</f>
        <v>ZGP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>
        <f>IF(SP_SUL!B391="","*",SP_SUL!B391)</f>
        <v>46093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ZEV-ZPT</v>
      </c>
      <c r="E391" s="83" t="str">
        <f>IF(SP_SUL!D391="","*",SP_SUL!D391)</f>
        <v>V85</v>
      </c>
      <c r="F391" s="83" t="str">
        <f>IF(SP_SUL!H391="","*",SP_SUL!H391)</f>
        <v>ZDRZPT</v>
      </c>
      <c r="G391" s="83" t="str">
        <f>IF(SP_SUL!M391="","*",SP_SUL!M391)</f>
        <v>ZGP</v>
      </c>
      <c r="H391" s="116">
        <f>IF(SP_SUL!K391="","*",SP_SUL!K391)</f>
        <v>102.1</v>
      </c>
      <c r="I391" s="113">
        <f>IF(SP_SUL!O391="","*",SP_SUL!O391)</f>
        <v>0.32291666666666669</v>
      </c>
      <c r="J391" s="113">
        <f>IF(SP_SUL!P391="","*",SP_SUL!P391)</f>
        <v>0</v>
      </c>
      <c r="K391" s="83" t="str">
        <f>IF(SP_SUL!AK391="","*",SP_SUL!AK391)</f>
        <v>ZDRZPT</v>
      </c>
      <c r="L391" s="83" t="str">
        <f>IF(SP_SUL!AM391="","*",SP_SUL!AM391)</f>
        <v>ZGP</v>
      </c>
      <c r="M391" s="83">
        <f>IF(SP_SUL!AP391="","*",SP_SUL!AP391)</f>
        <v>102.1</v>
      </c>
      <c r="N391" s="83" t="str">
        <f>IF(SP_SUL!AM391="","*",SP_SUL!AM391)</f>
        <v>ZGP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>
        <f>IF(SP_SUL!B392="","*",SP_SUL!B392)</f>
        <v>46093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W62</v>
      </c>
      <c r="F392" s="83" t="str">
        <f>IF(SP_SUL!H392="","*",SP_SUL!H392)</f>
        <v>ZDRZPT</v>
      </c>
      <c r="G392" s="83" t="str">
        <f>IF(SP_SUL!M392="","*",SP_SUL!M392)</f>
        <v>ZGP</v>
      </c>
      <c r="H392" s="116">
        <f>IF(SP_SUL!K392="","*",SP_SUL!K392)</f>
        <v>103.07</v>
      </c>
      <c r="I392" s="113">
        <f>IF(SP_SUL!O392="","*",SP_SUL!O392)</f>
        <v>0.32291666666666669</v>
      </c>
      <c r="J392" s="113">
        <f>IF(SP_SUL!P392="","*",SP_SUL!P392)</f>
        <v>0</v>
      </c>
      <c r="K392" s="83" t="str">
        <f>IF(SP_SUL!AK392="","*",SP_SUL!AK392)</f>
        <v>ZDRZPT</v>
      </c>
      <c r="L392" s="83" t="str">
        <f>IF(SP_SUL!AM392="","*",SP_SUL!AM392)</f>
        <v>ZGP</v>
      </c>
      <c r="M392" s="83">
        <f>IF(SP_SUL!AP392="","*",SP_SUL!AP392)</f>
        <v>103.07</v>
      </c>
      <c r="N392" s="83" t="str">
        <f>IF(SP_SUL!AM392="","*",SP_SUL!AM392)</f>
        <v>ZGP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>
        <f>IF(SP_SUL!B393="","*",SP_SUL!B393)</f>
        <v>46093</v>
      </c>
      <c r="B393" s="83" t="str">
        <f>IF(SP_SUL!X393="","*",SP_SUL!X393)</f>
        <v>Oportunidade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HUELTON (TP-725)</v>
      </c>
      <c r="F393" s="83" t="str">
        <f>IF(SP_SUL!H393="","*",SP_SUL!H393)</f>
        <v>-</v>
      </c>
      <c r="G393" s="83" t="str">
        <f>IF(SP_SUL!M393="","*",SP_SUL!M393)</f>
        <v>ZPT</v>
      </c>
      <c r="H393" s="116">
        <f>IF(SP_SUL!K393="","*",SP_SUL!K393)</f>
        <v>106.8</v>
      </c>
      <c r="I393" s="113">
        <f>IF(SP_SUL!O393="","*",SP_SUL!O393)</f>
        <v>0.375</v>
      </c>
      <c r="J393" s="113">
        <f>IF(SP_SUL!P393="","*",SP_SUL!P393)</f>
        <v>0.125</v>
      </c>
      <c r="K393" s="83" t="str">
        <f>IF(SP_SUL!AK393="","*",SP_SUL!AK393)</f>
        <v>-</v>
      </c>
      <c r="L393" s="83" t="str">
        <f>IF(SP_SUL!AM393="","*",SP_SUL!AM393)</f>
        <v>ZPT</v>
      </c>
      <c r="M393" s="83">
        <f>IF(SP_SUL!AP393="","*",SP_SUL!AP393)</f>
        <v>106.8</v>
      </c>
      <c r="N393" s="83" t="str">
        <f>IF(SP_SUL!AM393="","*",SP_SUL!AM393)</f>
        <v>ZPT</v>
      </c>
      <c r="O393" s="110">
        <f>IF(SP_SUL!BH393="","*",SP_SUL!BH393)</f>
        <v>0</v>
      </c>
      <c r="P393" s="147" t="str">
        <f>IF($A$2=1,IF(SP_SUL!BJ393="","*",SP_SUL!BJ393),IF(SP_SUL!BK393="","*",SP_SUL!BK393))</f>
        <v>Condições climáticas (chuva)</v>
      </c>
    </row>
    <row r="394" spans="1:16">
      <c r="A394" s="82">
        <f>IF(SP_SUL!B394="","*",SP_SUL!B394)</f>
        <v>46093</v>
      </c>
      <c r="B394" s="83" t="str">
        <f>IF(SP_SUL!X394="","*",SP_SUL!X394)</f>
        <v>Oportunidade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EXPANSÃO TURMA 1</v>
      </c>
      <c r="F394" s="83" t="str">
        <f>IF(SP_SUL!H394="","*",SP_SUL!H394)</f>
        <v>-</v>
      </c>
      <c r="G394" s="83" t="str">
        <f>IF(SP_SUL!M394="","*",SP_SUL!M394)</f>
        <v>ZGM-109</v>
      </c>
      <c r="H394" s="116">
        <f>IF(SP_SUL!K394="","*",SP_SUL!K394)</f>
        <v>111.5</v>
      </c>
      <c r="I394" s="113">
        <f>IF(SP_SUL!O394="","*",SP_SUL!O394)</f>
        <v>0.41666666666666669</v>
      </c>
      <c r="J394" s="113">
        <f>IF(SP_SUL!P394="","*",SP_SUL!P394)</f>
        <v>6.25E-2</v>
      </c>
      <c r="K394" s="83" t="str">
        <f>IF(SP_SUL!AK394="","*",SP_SUL!AK394)</f>
        <v>-</v>
      </c>
      <c r="L394" s="83" t="str">
        <f>IF(SP_SUL!AM394="","*",SP_SUL!AM394)</f>
        <v>ZGM-109</v>
      </c>
      <c r="M394" s="83">
        <f>IF(SP_SUL!AP394="","*",SP_SUL!AP394)</f>
        <v>111.5</v>
      </c>
      <c r="N394" s="83" t="str">
        <f>IF(SP_SUL!AM394="","*",SP_SUL!AM394)</f>
        <v>ZGM-109</v>
      </c>
      <c r="O394" s="110">
        <f>IF(SP_SUL!BH394="","*",SP_SUL!BH394)</f>
        <v>0</v>
      </c>
      <c r="P394" s="147" t="str">
        <f>IF($A$2=1,IF(SP_SUL!BJ394="","*",SP_SUL!BJ394),IF(SP_SUL!BK394="","*",SP_SUL!BK394))</f>
        <v>Condições climáticas (chuva)</v>
      </c>
    </row>
    <row r="395" spans="1:16">
      <c r="A395" s="82">
        <f>IF(SP_SUL!B395="","*",SP_SUL!B395)</f>
        <v>46093</v>
      </c>
      <c r="B395" s="83" t="str">
        <f>IF(SP_SUL!X395="","*",SP_SUL!X395)</f>
        <v>Oportunidade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DIEGO (TF-42)</v>
      </c>
      <c r="F395" s="83" t="str">
        <f>IF(SP_SUL!H395="","*",SP_SUL!H395)</f>
        <v>-</v>
      </c>
      <c r="G395" s="83" t="str">
        <f>IF(SP_SUL!M395="","*",SP_SUL!M395)</f>
        <v>ZGM-109</v>
      </c>
      <c r="H395" s="116">
        <f>IF(SP_SUL!K395="","*",SP_SUL!K395)</f>
        <v>113</v>
      </c>
      <c r="I395" s="113">
        <f>IF(SP_SUL!O395="","*",SP_SUL!O395)</f>
        <v>0.41666666666666669</v>
      </c>
      <c r="J395" s="113">
        <f>IF(SP_SUL!P395="","*",SP_SUL!P395)</f>
        <v>6.25E-2</v>
      </c>
      <c r="K395" s="83" t="str">
        <f>IF(SP_SUL!AK395="","*",SP_SUL!AK395)</f>
        <v>-</v>
      </c>
      <c r="L395" s="83" t="str">
        <f>IF(SP_SUL!AM395="","*",SP_SUL!AM395)</f>
        <v>ZGM-109</v>
      </c>
      <c r="M395" s="83">
        <f>IF(SP_SUL!AP395="","*",SP_SUL!AP395)</f>
        <v>113</v>
      </c>
      <c r="N395" s="83" t="str">
        <f>IF(SP_SUL!AM395="","*",SP_SUL!AM395)</f>
        <v>ZGM-109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>
        <f>IF(SP_SUL!B396="","*",SP_SUL!B396)</f>
        <v>46093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ZEV-ZPT</v>
      </c>
      <c r="E396" s="83" t="str">
        <f>IF(SP_SUL!D396="","*",SP_SUL!D396)</f>
        <v>A84</v>
      </c>
      <c r="F396" s="83" t="str">
        <f>IF(SP_SUL!H396="","*",SP_SUL!H396)</f>
        <v>ZPT105-1</v>
      </c>
      <c r="G396" s="83" t="str">
        <f>IF(SP_SUL!M396="","*",SP_SUL!M396)</f>
        <v>ZPT-ZEV</v>
      </c>
      <c r="H396" s="116">
        <f>IF(SP_SUL!K396="","*",SP_SUL!K396)</f>
        <v>106</v>
      </c>
      <c r="I396" s="113">
        <f>IF(SP_SUL!O396="","*",SP_SUL!O396)</f>
        <v>0.3125</v>
      </c>
      <c r="J396" s="113">
        <f>IF(SP_SUL!P396="","*",SP_SUL!P396)</f>
        <v>4.1666666666666664E-2</v>
      </c>
      <c r="K396" s="83" t="str">
        <f>IF(SP_SUL!AK396="","*",SP_SUL!AK396)</f>
        <v>ZPT105-1</v>
      </c>
      <c r="L396" s="83" t="str">
        <f>IF(SP_SUL!AM396="","*",SP_SUL!AM396)</f>
        <v>ZPT-ZEV</v>
      </c>
      <c r="M396" s="83">
        <f>IF(SP_SUL!AP396="","*",SP_SUL!AP396)</f>
        <v>106</v>
      </c>
      <c r="N396" s="83" t="str">
        <f>IF(SP_SUL!AM396="","*",SP_SUL!AM396)</f>
        <v>ZPT-ZEV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2026-03-12T13:38:10Z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