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10" documentId="8_{B6337239-1A00-434D-AAD0-422EA1FEB5AE}" xr6:coauthVersionLast="47" xr6:coauthVersionMax="47" xr10:uidLastSave="{116E2C0B-5C5E-4CE1-97C9-F3712A60AB2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6" i="1" l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H93" i="1" a="1"/>
  <c r="H93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4" i="1" a="1"/>
  <c r="N94" i="1"/>
  <c r="N93" i="1" a="1"/>
  <c r="N93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4" i="1" a="1"/>
  <c r="M94" i="1"/>
  <c r="M93" i="1" a="1"/>
  <c r="M93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9" i="1" l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<sst xmlns="http://schemas.openxmlformats.org/spreadsheetml/2006/main" count="4785" uniqueCount="1140">
  <si>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</si>
  <si>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</si>
  <si>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</si>
  <si>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</si>
  <si>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</si>
  <si>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</si>
  <si>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</si>
  <si>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</si>
  <si>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</si>
  <si>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</si>
  <si>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</si>
  <si>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</si>
  <si>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</si>
  <si>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</si>
  <si>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</si>
  <si>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</si>
  <si>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</si>
  <si>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</si>
  <si>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</si>
  <si>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</si>
  <si>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</si>
  <si>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</si>
  <si>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</si>
  <si>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</si>
  <si>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</si>
  <si>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</si>
  <si>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</si>
  <si>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</si>
  <si>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</si>
  <si>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</si>
  <si>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</si>
  <si>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</si>
  <si>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</si>
  <si>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</si>
  <si>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</si>
  <si>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</si>
  <si>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</si>
  <si>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</si>
  <si>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</si>
  <si>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</si>
  <si>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</si>
  <si>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</si>
  <si>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</si>
  <si>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</si>
  <si>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</si>
  <si>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</si>
  <si>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</si>
  <si>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</si>
  <si>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</si>
  <si>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</si>
  <si>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</si>
  <si>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</si>
  <si>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</si>
  <si>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</si>
  <si>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</si>
  <si>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</si>
  <si>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</si>
  <si>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</si>
  <si>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</si>
  <si>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</si>
  <si>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</si>
  <si>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</si>
  <si>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</si>
  <si>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</si>
  <si>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</si>
  <si>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</si>
  <si>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</si>
  <si>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</si>
  <si>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</si>
  <si>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</si>
  <si>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</si>
  <si>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</si>
  <si>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</si>
  <si>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</si>
  <si>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</si>
  <si>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</si>
  <si>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</si>
  <si>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</si>
  <si>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</si>
  <si>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</si>
  <si>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</si>
  <si>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</si>
  <si>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</si>
  <si>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</si>
  <si>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</si>
  <si>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</si>
  <si>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</si>
  <si>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</si>
  <si>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</si>
  <si>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</si>
  <si>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</si>
  <si>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</si>
  <si>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</si>
  <si>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</si>
  <si>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</si>
  <si>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</si>
  <si>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</si>
  <si>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</si>
  <si>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</si>
  <si>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</si>
  <si>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</si>
  <si>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</si>
  <si>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</si>
  <si>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</si>
  <si>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</si>
  <si>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</si>
  <si>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</si>
  <si>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</si>
  <si>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</si>
  <si>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</si>
  <si>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</si>
  <si>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</si>
  <si>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</si>
  <si>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</si>
  <si>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</si>
  <si>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</si>
  <si>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</si>
  <si>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</si>
  <si>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</si>
  <si>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</si>
  <si>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</si>
  <si>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</si>
  <si>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</si>
  <si>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</si>
  <si>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</si>
  <si>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</si>
  <si>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</si>
  <si>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</si>
  <si>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</si>
  <si>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</si>
  <si>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</si>
  <si>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</si>
  <si>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</si>
  <si>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</si>
  <si>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</si>
  <si>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</si>
  <si>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</si>
  <si>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</si>
  <si>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</si>
  <si>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</si>
  <si>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</si>
  <si>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</si>
  <si>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</si>
  <si>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</si>
  <si>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</si>
  <si>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</si>
  <si>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</si>
  <si>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</si>
  <si>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</si>
  <si>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</si>
  <si>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</si>
  <si>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</si>
  <si>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</si>
  <si>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</si>
  <si>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</si>
  <si>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</si>
  <si>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</si>
  <si>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</si>
  <si>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</si>
  <si>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</si>
  <si>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</si>
  <si>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</si>
  <si>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</si>
  <si>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</si>
  <si>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</si>
  <si>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</si>
  <si>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</si>
  <si>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</si>
  <si>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</si>
  <si>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</si>
  <si>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</si>
  <si>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</si>
  <si>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</si>
  <si>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</si>
  <si>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</si>
  <si>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</si>
  <si>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</si>
  <si>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</si>
  <si>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</si>
  <si>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</si>
  <si>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</si>
  <si>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</si>
  <si>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</si>
  <si>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</si>
  <si>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</si>
  <si>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</si>
  <si>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</si>
  <si>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</si>
  <si>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</si>
  <si>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</si>
  <si>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</si>
  <si>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</si>
  <si>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</si>
  <si>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</si>
  <si>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</si>
  <si>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</si>
  <si>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</si>
  <si>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</si>
  <si>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</si>
  <si>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</si>
  <si>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</si>
  <si>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</si>
  <si>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</si>
  <si>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</si>
  <si>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</si>
  <si>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</si>
  <si>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</si>
  <si>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</si>
  <si>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</si>
  <si>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</si>
  <si>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</si>
  <si>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</si>
  <si>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</si>
  <si>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</si>
  <si>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</si>
  <si>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</si>
  <si>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</si>
  <si>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</si>
  <si>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</si>
  <si>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</si>
  <si>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</si>
  <si>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</si>
  <si>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</si>
  <si>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</si>
  <si>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</si>
  <si>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</si>
  <si>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</si>
  <si>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</si>
  <si>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</si>
  <si>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</si>
  <si>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</si>
  <si>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</si>
  <si>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</si>
  <si>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</si>
  <si>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</si>
  <si>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</si>
  <si>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</si>
  <si>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</si>
  <si>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</si>
  <si>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</si>
  <si>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</si>
  <si>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</si>
  <si>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</si>
  <si>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</si>
  <si>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</si>
  <si>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</si>
  <si>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</si>
  <si>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</si>
  <si>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</si>
  <si>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</si>
  <si>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</si>
  <si>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</si>
  <si>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</si>
  <si>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</si>
  <si>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</si>
  <si>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</si>
  <si>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</si>
  <si>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</si>
  <si>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</si>
  <si>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</si>
  <si>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</si>
  <si>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</si>
  <si>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</si>
  <si>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</si>
  <si>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</si>
  <si>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</si>
  <si>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</si>
  <si>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</si>
  <si>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</si>
  <si>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</si>
  <si>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</si>
  <si>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</si>
  <si>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</si>
  <si>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</si>
  <si>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</si>
  <si>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</si>
  <si>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</si>
  <si>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</si>
  <si>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</si>
  <si>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</si>
  <si>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</si>
  <si>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</si>
  <si>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</si>
  <si>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</si>
  <si>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</si>
  <si>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</si>
  <si>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</si>
  <si>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</si>
  <si>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</si>
  <si>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</si>
  <si>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</si>
  <si>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</si>
  <si>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</si>
  <si>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</si>
  <si>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</si>
  <si>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</si>
  <si>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</si>
  <si>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</si>
  <si>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</si>
  <si>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</si>
  <si>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</si>
  <si>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</si>
  <si>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</si>
  <si>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</si>
  <si>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</si>
  <si>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</si>
  <si>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</si>
  <si>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</si>
  <si>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</si>
  <si>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</si>
  <si>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</si>
  <si>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</si>
  <si>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</si>
  <si>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</si>
  <si>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</si>
  <si>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</si>
  <si>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</si>
  <si>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</si>
  <si>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</si>
  <si>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</si>
  <si>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</si>
  <si>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</si>
  <si>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</si>
  <si>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</si>
  <si>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</si>
  <si>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</si>
  <si>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</si>
  <si>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</si>
  <si>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</si>
  <si>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</si>
  <si>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</si>
  <si>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</si>
  <si>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</si>
  <si>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</si>
  <si>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</si>
  <si>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</si>
  <si>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</si>
  <si>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</si>
  <si>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</si>
  <si>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</si>
  <si>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</si>
  <si>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</si>
  <si>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</si>
  <si>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</si>
  <si>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</si>
  <si>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</si>
  <si>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</si>
  <si>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</si>
  <si>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</si>
  <si>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</si>
  <si>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</si>
  <si>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</si>
  <si>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</si>
  <si>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</si>
  <si>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</si>
  <si>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</si>
  <si>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</si>
  <si>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</si>
  <si>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</si>
  <si>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</si>
  <si>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</si>
  <si>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</si>
  <si>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</si>
  <si>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</si>
  <si>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</si>
  <si>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</si>
  <si>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</si>
  <si>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</si>
  <si>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</si>
  <si>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</si>
  <si>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</si>
  <si>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</si>
  <si>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</si>
  <si>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</si>
  <si>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</si>
  <si>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</si>
  <si>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</si>
  <si>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</si>
  <si>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</si>
  <si>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</si>
  <si>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</si>
  <si>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</si>
  <si>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</si>
  <si>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</si>
  <si>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</si>
  <si>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</si>
  <si>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</si>
  <si>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</si>
  <si>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</si>
  <si>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</si>
  <si>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</si>
  <si>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</si>
  <si>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</si>
  <si>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</si>
  <si>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</si>
  <si>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</si>
  <si>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</si>
  <si>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</si>
  <si>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</si>
  <si>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</si>
  <si>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</si>
  <si>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</si>
  <si>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</si>
  <si>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</si>
  <si>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</si>
  <si>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</si>
  <si>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</si>
  <si>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</si>
  <si>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</si>
  <si>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</si>
  <si>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</si>
  <si>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</si>
  <si>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</si>
  <si>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</si>
  <si>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</si>
  <si>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</si>
  <si>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</si>
  <si>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</si>
  <si>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</si>
  <si>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</si>
  <si>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</si>
  <si>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</si>
  <si>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</si>
  <si>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</si>
  <si>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</si>
  <si>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</si>
  <si>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</si>
  <si>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</si>
  <si>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</si>
  <si>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</si>
  <si>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</si>
  <si>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</si>
  <si>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</si>
  <si>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</si>
  <si>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</si>
  <si>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</si>
  <si>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</si>
  <si>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</si>
  <si>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</si>
  <si>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</si>
  <si>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</si>
  <si>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</si>
  <si>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</si>
  <si>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</si>
  <si>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</si>
  <si>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</si>
  <si>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</si>
  <si>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</si>
  <si>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</si>
  <si>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</si>
  <si>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</si>
  <si>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</si>
  <si>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</si>
  <si>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</si>
  <si>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</si>
  <si>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</si>
  <si>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</si>
  <si>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</si>
  <si>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</si>
  <si>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</si>
  <si>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</si>
  <si>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</si>
  <si>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</si>
  <si>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</si>
  <si>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</si>
  <si>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</si>
  <si>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</si>
  <si>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</si>
  <si>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</si>
  <si>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</si>
  <si>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</si>
  <si>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</si>
  <si>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</si>
  <si>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</si>
  <si>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</si>
  <si>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</si>
  <si>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</si>
  <si>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</si>
  <si>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</si>
  <si>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</si>
  <si>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</si>
  <si>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</si>
  <si>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</si>
  <si>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</si>
  <si>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</si>
  <si>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</si>
  <si>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</si>
  <si>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</si>
  <si>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</si>
  <si>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</si>
  <si>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</si>
  <si>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</si>
  <si>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</si>
  <si>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</si>
  <si>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</si>
  <si>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</si>
  <si>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</si>
  <si>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</si>
  <si>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</si>
  <si>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</si>
  <si>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</si>
  <si>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</si>
  <si>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</si>
  <si>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</si>
  <si>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</si>
  <si>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</si>
  <si>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</si>
  <si>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</si>
  <si>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</si>
  <si>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</si>
  <si>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</si>
  <si>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</si>
  <si>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</si>
  <si>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</si>
  <si>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</si>
  <si>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</si>
  <si>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</si>
  <si>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</si>
  <si>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</si>
  <si>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</si>
  <si>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</si>
  <si>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</si>
  <si>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</si>
  <si>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</si>
  <si>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</si>
  <si>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</si>
  <si>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</si>
  <si>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</si>
  <si>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</si>
  <si>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</si>
  <si>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</si>
  <si>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</si>
  <si>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</si>
  <si>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</si>
  <si>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</si>
  <si>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</si>
  <si>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</si>
  <si>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</si>
  <si>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</si>
  <si>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</si>
  <si>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</si>
  <si>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</si>
  <si>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</si>
  <si>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</si>
  <si>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</si>
  <si>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</si>
  <si>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</si>
  <si>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</si>
  <si>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</si>
  <si>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</si>
  <si>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</si>
  <si>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</si>
  <si>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</si>
  <si>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</si>
  <si>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</si>
  <si>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</si>
  <si>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</si>
  <si>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</si>
  <si>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</si>
  <si>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</si>
  <si>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</si>
  <si>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</si>
  <si>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</si>
  <si>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</si>
  <si>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</si>
  <si>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</si>
  <si>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</si>
  <si>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</si>
  <si>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</si>
  <si>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</si>
  <si>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</si>
  <si>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</si>
  <si>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</si>
  <si>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</si>
  <si>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</si>
  <si>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</si>
  <si>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</si>
  <si>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</si>
  <si>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</si>
  <si>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</si>
  <si>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</si>
  <si>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</si>
  <si>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</si>
  <si>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</si>
  <si>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</si>
  <si>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</si>
  <si>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</si>
  <si>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</si>
  <si>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</si>
  <si>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</si>
  <si>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</si>
  <si>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</si>
  <si>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</si>
  <si>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</si>
  <si>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</si>
  <si>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</si>
  <si>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</si>
  <si>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</si>
  <si>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</si>
  <si>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</si>
  <si>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</si>
  <si>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</si>
  <si>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</si>
  <si>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</si>
  <si>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</si>
  <si>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</si>
  <si>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</si>
  <si>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</si>
  <si>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</si>
  <si>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</si>
  <si>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</si>
  <si>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</si>
  <si>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</si>
  <si>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</si>
  <si>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</si>
  <si>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</si>
  <si>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</si>
  <si>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</si>
  <si>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</si>
  <si>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</si>
  <si>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</si>
  <si>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</si>
  <si>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</si>
  <si>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</si>
  <si>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</si>
  <si>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</si>
  <si>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</si>
  <si>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</si>
  <si>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</si>
  <si>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</si>
  <si>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</si>
  <si>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</si>
  <si>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</si>
  <si>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</si>
  <si>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</si>
  <si>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</si>
  <si>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</si>
  <si>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</si>
  <si>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</si>
  <si>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</si>
  <si>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</si>
  <si>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</si>
  <si>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</si>
  <si>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</si>
  <si>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</si>
  <si>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</si>
  <si>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</si>
  <si>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</si>
  <si>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</si>
  <si>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</si>
  <si>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</si>
  <si>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</si>
  <si>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</si>
  <si>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</si>
  <si>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</si>
  <si>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</si>
  <si>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</si>
  <si>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</si>
  <si>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</si>
  <si>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</si>
  <si>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</si>
  <si>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</si>
  <si>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</si>
  <si>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</si>
  <si>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</si>
  <si>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</si>
  <si>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</si>
  <si>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</si>
  <si>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</si>
  <si>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</si>
  <si>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</si>
  <si>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</si>
  <si>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</si>
  <si>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</si>
  <si>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</si>
  <si>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</si>
  <si>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</si>
  <si>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</si>
  <si>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</si>
  <si>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</si>
  <si>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</si>
  <si>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</si>
  <si>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</si>
  <si>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</si>
  <si>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</si>
  <si>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</si>
  <si>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</si>
  <si>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</si>
  <si>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</si>
  <si>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</si>
  <si>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</si>
  <si>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</si>
  <si>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</si>
  <si>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</si>
  <si>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</si>
  <si>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</si>
  <si>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</si>
  <si>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</si>
  <si>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</si>
  <si>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</si>
  <si>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</si>
  <si>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</si>
  <si>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</si>
  <si>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</si>
  <si>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</si>
  <si>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</si>
  <si>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</si>
  <si>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</si>
  <si>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</si>
  <si>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</si>
  <si>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</si>
  <si>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</si>
  <si>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</si>
  <si>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</si>
  <si>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</si>
  <si>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</si>
  <si>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</si>
  <si>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</si>
  <si>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</si>
  <si>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</si>
  <si>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</si>
  <si>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</si>
  <si>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</si>
  <si>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</si>
  <si>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</si>
  <si>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</si>
  <si>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</si>
  <si>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</si>
  <si>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</si>
  <si>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</si>
  <si>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</si>
  <si>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</si>
  <si>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</si>
  <si>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</si>
  <si>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</si>
  <si>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</si>
  <si>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</si>
  <si>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</si>
  <si>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</si>
  <si>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</si>
  <si>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</si>
  <si>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</si>
  <si>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</si>
  <si>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</si>
  <si>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</si>
  <si>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</si>
  <si>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</si>
  <si>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</si>
  <si>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</si>
  <si>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</si>
  <si>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</si>
  <si>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</si>
  <si>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</si>
  <si>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</si>
  <si>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</si>
  <si>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</si>
  <si>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</si>
  <si>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</si>
  <si>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</si>
  <si>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</si>
  <si>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</si>
  <si>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</si>
  <si>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</si>
  <si>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</si>
  <si>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</si>
  <si>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</si>
  <si>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</si>
  <si>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</si>
  <si>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</si>
  <si>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</si>
  <si>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</si>
  <si>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</si>
  <si>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</si>
  <si>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</si>
  <si>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</si>
  <si>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</si>
  <si>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</si>
  <si>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</si>
  <si>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</si>
  <si>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</si>
  <si>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</si>
  <si>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</si>
  <si>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</si>
  <si>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</si>
  <si>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</si>
  <si>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</si>
  <si>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</si>
  <si>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</si>
  <si>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</si>
  <si>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</si>
  <si>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</si>
  <si>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</si>
  <si>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</si>
  <si>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</si>
  <si>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</si>
  <si>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</si>
  <si>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</si>
  <si>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</si>
  <si>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</si>
  <si>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</si>
  <si>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</si>
  <si>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</si>
  <si>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</si>
  <si>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</si>
  <si>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</si>
  <si>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</si>
  <si>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</si>
  <si>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</si>
  <si>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</si>
  <si>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</si>
  <si>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</si>
  <si>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</si>
  <si>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</si>
  <si>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</si>
  <si>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</si>
  <si>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</si>
  <si>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</si>
  <si>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</si>
  <si>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</si>
  <si>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</si>
  <si>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</si>
  <si>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</si>
  <si>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</si>
  <si>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</si>
  <si>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</si>
  <si>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</si>
  <si>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</si>
  <si>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</si>
  <si>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</si>
  <si>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</si>
  <si>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</si>
  <si>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</si>
  <si>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</si>
  <si>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</si>
  <si>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</si>
  <si>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</si>
  <si>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</si>
  <si>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</si>
  <si>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</si>
  <si>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</si>
  <si>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</si>
  <si>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</si>
  <si>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</si>
  <si>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</si>
  <si>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</si>
  <si>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</si>
  <si>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</si>
  <si>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</si>
  <si>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</si>
  <si>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</si>
  <si>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</si>
  <si>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</si>
  <si>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</si>
  <si>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</si>
  <si>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</si>
  <si>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</si>
  <si>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</si>
  <si>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</si>
  <si>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</si>
  <si>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</si>
  <si>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</si>
  <si>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</si>
  <si>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</si>
  <si>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</si>
  <si>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</si>
  <si>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</si>
  <si>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</si>
  <si>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</si>
  <si>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</si>
  <si>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</si>
  <si>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</si>
  <si>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</si>
  <si>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</si>
  <si>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</si>
  <si>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</si>
  <si>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</si>
  <si>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</si>
  <si>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</si>
  <si>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</si>
  <si>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</si>
  <si>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</si>
  <si>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</si>
  <si>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</si>
  <si>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</si>
  <si>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</si>
  <si>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</si>
  <si>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</si>
  <si>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</si>
  <si>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</si>
  <si>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</si>
  <si>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</si>
  <si>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</si>
  <si>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</si>
  <si>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</si>
  <si>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</si>
  <si>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</si>
  <si>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</si>
  <si>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</si>
  <si>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</si>
  <si>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</si>
  <si>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</si>
  <si>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</si>
  <si>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</si>
  <si>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</si>
  <si>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</si>
  <si>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</si>
  <si>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</si>
  <si>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</si>
  <si>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</si>
  <si>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</si>
  <si>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</si>
  <si>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</si>
  <si>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</si>
  <si>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</si>
  <si>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</si>
  <si>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</si>
  <si>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</si>
  <si>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</si>
  <si>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</si>
  <si>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</si>
  <si>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</si>
  <si>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</si>
  <si>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</si>
  <si>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</si>
  <si>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</si>
  <si>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</si>
  <si>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</si>
  <si>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</si>
  <si>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</si>
  <si>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</si>
  <si>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</si>
  <si>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</si>
  <si>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</si>
  <si>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</si>
  <si>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</si>
  <si>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</si>
  <si>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</si>
  <si>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</si>
  <si>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</si>
  <si>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</si>
  <si>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</si>
  <si>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</si>
  <si>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</si>
  <si>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</si>
  <si>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</si>
  <si>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</si>
  <si>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</si>
  <si>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</si>
  <si>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</si>
  <si>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</si>
  <si>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</si>
  <si>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</si>
  <si>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</si>
  <si>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</si>
  <si>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</si>
  <si>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</si>
  <si>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</si>
  <si>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</si>
  <si>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</si>
  <si>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</si>
  <si>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</si>
  <si>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</si>
  <si>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</si>
  <si>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</si>
  <si>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</si>
  <si>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</si>
  <si>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</si>
  <si>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</si>
  <si>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</si>
  <si>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</si>
  <si>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</si>
  <si>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</si>
  <si>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</si>
  <si>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</si>
  <si>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</si>
  <si>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</si>
  <si>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</si>
  <si>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</si>
  <si>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</si>
  <si>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</si>
  <si>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</si>
  <si>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</si>
  <si>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</si>
  <si>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</si>
  <si>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</si>
  <si>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</si>
  <si>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</si>
  <si>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</si>
  <si>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</si>
  <si>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</si>
  <si>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</si>
  <si>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</si>
  <si>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</si>
  <si>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</si>
  <si>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</si>
  <si>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</si>
  <si>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</si>
  <si>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</si>
  <si>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</si>
  <si>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</si>
  <si>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</si>
  <si>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</si>
  <si>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</si>
  <si>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</si>
  <si>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</si>
  <si>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</si>
  <si>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</si>
  <si>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</si>
  <si>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</si>
  <si>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</si>
  <si>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</si>
  <si>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</si>
  <si>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</si>
  <si>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</si>
  <si>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</si>
  <si>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</si>
  <si>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</si>
  <si>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</si>
  <si>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</si>
  <si>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</si>
  <si>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</si>
  <si>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</si>
  <si>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</si>
  <si>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</si>
  <si>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</si>
  <si>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</si>
  <si>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</si>
  <si>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</si>
  <si>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</si>
  <si>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</si>
  <si>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</si>
  <si>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</si>
  <si>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</si>
  <si>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</si>
  <si>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</si>
  <si>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</si>
  <si>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</si>
  <si>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</si>
  <si>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</si>
  <si>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</si>
  <si>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</si>
  <si>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</si>
  <si>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</si>
  <si>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</si>
  <si>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</si>
  <si>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</si>
  <si>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</si>
  <si>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</si>
  <si>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</si>
  <si>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</si>
  <si>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</si>
  <si>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</si>
  <si>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</si>
  <si>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</si>
  <si>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</si>
  <si>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</si>
  <si>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Erro na MC1 (Em análise)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</si>
  <si>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</si>
  <si>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</si>
  <si>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</si>
  <si>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</si>
  <si>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</si>
  <si>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para substituição de dormentes / Realizado 68m de nivelamento conínuo no intervalo (Alt. de Programação)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</si>
  <si>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</si>
  <si>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</si>
  <si>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</si>
  <si>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</si>
  <si>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</si>
  <si>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</si>
  <si>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</si>
  <si>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</si>
  <si>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</si>
  <si>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</si>
  <si>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</si>
  <si>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</si>
  <si>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</si>
  <si>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</si>
  <si>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</si>
  <si>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</si>
  <si>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</si>
  <si>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</si>
  <si>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</si>
  <si>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</si>
  <si>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</si>
  <si>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</si>
  <si>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</si>
  <si>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</si>
  <si>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</si>
  <si>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Em intervalo para detecção ultrassom Sperry entre ZPT-ZPG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</si>
  <si>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</si>
  <si>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</si>
  <si>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</si>
  <si>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</si>
  <si>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</si>
  <si>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</si>
  <si>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</si>
  <si>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</si>
  <si>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</si>
  <si>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Onil</t>
  </si>
  <si>
    <t>N42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</si>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</sst>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87" activePane="bottomRight" state="frozen"/>
      <selection pane="bottomRight" activeCell="J94" sqref="J9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/>
      <c r="AT57" s="39"/>
      <c r="AU57" s="39"/>
      <c r="AV57" s="39"/>
      <c r="AW57" s="39"/>
      <c r="AX57" s="39"/>
      <c r="AY57" s="294">
        <f t="shared" si="2"/>
        <v>0</v>
      </c>
      <c r="AZ57" s="14"/>
      <c r="BA57" s="72"/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1</v>
      </c>
      <c r="BI57" s="17"/>
      <c r="BJ57" s="17" t="s">
        <v>1055</v>
      </c>
      <c r="BK57" s="17" t="s">
        <v>1056</v>
      </c>
      <c r="BL57" s="16"/>
      <c r="BM57" s="15"/>
      <c r="BN57" s="15"/>
      <c r="BO57" s="166"/>
      <c r="BP57" s="17"/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/>
      </c>
    </row>
    <row r="58" spans="1:72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503</v>
      </c>
      <c r="G60" s="9" t="str">
        <f>IF(D60="","*",VLOOKUP(F60,BS_ATIVIDADE[#All],3,FALSE))</f>
        <v>DORMENTE - SUBSTITUIÇÂO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30</v>
      </c>
      <c r="R60" s="10" t="str">
        <f>IFERROR(_xlfn.XLOOKUP(F60, BS_ATIVIDADE[ATIVIDADE],BS_ATIVIDADE[UNIDADE] ), "*")</f>
        <v>Nº DE DORMENTES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682</v>
      </c>
      <c r="BN60" s="15" t="s">
        <v>712</v>
      </c>
      <c r="BO60" s="166" t="s">
        <v>764</v>
      </c>
      <c r="BP60" s="17" t="s">
        <v>317</v>
      </c>
      <c r="BQ60" s="13" t="str">
        <f t="shared" si="3"/>
        <v>Produção</v>
      </c>
      <c r="BR60" s="19">
        <f t="shared" si="4"/>
        <v>1.333333333333333</v>
      </c>
      <c r="BS60" s="19">
        <f t="shared" si="5"/>
        <v>3.3333333333333333E-2</v>
      </c>
      <c r="BT60" s="226" t="str">
        <f t="shared" si="6"/>
        <v>SuperExecução</v>
      </c>
    </row>
    <row r="61" spans="1:72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294">
        <f t="shared" si="2"/>
        <v>0</v>
      </c>
      <c r="AZ64" s="14"/>
      <c r="BA64" s="72"/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1</v>
      </c>
      <c r="BI64" s="17"/>
      <c r="BJ64" s="17" t="s">
        <v>1063</v>
      </c>
      <c r="BK64" s="17" t="s">
        <v>1063</v>
      </c>
      <c r="BL64" s="16"/>
      <c r="BM64" s="15"/>
      <c r="BN64" s="15"/>
      <c r="BO64" s="166"/>
      <c r="BP64" s="17"/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/>
      </c>
    </row>
    <row r="65" spans="1:72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294">
        <f t="shared" si="2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1</v>
      </c>
      <c r="BI65" s="17"/>
      <c r="BJ65" s="17" t="s">
        <v>1063</v>
      </c>
      <c r="BK65" s="17" t="s">
        <v>1063</v>
      </c>
      <c r="BL65" s="16"/>
      <c r="BM65" s="15"/>
      <c r="BN65" s="15"/>
      <c r="BO65" s="166"/>
      <c r="BP65" s="17"/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/>
      </c>
    </row>
    <row r="66" spans="1:72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1069</v>
      </c>
      <c r="J66" s="218">
        <v>92</v>
      </c>
      <c r="K66" s="218">
        <v>66.5</v>
      </c>
      <c r="L66" s="84" t="s">
        <v>317</v>
      </c>
      <c r="M66" s="205" t="s">
        <v>1070</v>
      </c>
      <c r="N66" s="205" t="s">
        <v>1071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1072</v>
      </c>
      <c r="BK66" s="17" t="s">
        <v>1073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1074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1075</v>
      </c>
      <c r="BK68" s="17" t="s">
        <v>1075</v>
      </c>
      <c r="BL68" s="16"/>
      <c r="BM68" s="15" t="s">
        <v>688</v>
      </c>
      <c r="BN68" s="15" t="s">
        <v>705</v>
      </c>
      <c r="BO68" s="166" t="s">
        <v>779</v>
      </c>
      <c r="BP68" s="17" t="s">
        <v>1075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1075</v>
      </c>
      <c r="BK69" s="17" t="s">
        <v>1075</v>
      </c>
      <c r="BL69" s="16"/>
      <c r="BM69" s="15" t="s">
        <v>688</v>
      </c>
      <c r="BN69" s="15" t="s">
        <v>705</v>
      </c>
      <c r="BO69" s="166" t="s">
        <v>779</v>
      </c>
      <c r="BP69" s="17" t="s">
        <v>1075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1075</v>
      </c>
      <c r="BK70" s="17" t="s">
        <v>1075</v>
      </c>
      <c r="BL70" s="16"/>
      <c r="BM70" s="15" t="s">
        <v>688</v>
      </c>
      <c r="BN70" s="15" t="s">
        <v>705</v>
      </c>
      <c r="BO70" s="166" t="s">
        <v>779</v>
      </c>
      <c r="BP70" s="17" t="s">
        <v>1075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1076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1077</v>
      </c>
      <c r="BK72" s="17" t="s">
        <v>1078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1079</v>
      </c>
      <c r="BK73" s="17" t="s">
        <v>1080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1081</v>
      </c>
      <c r="BK74" s="17" t="s">
        <v>1082</v>
      </c>
      <c r="BL74" s="16"/>
      <c r="BM74" s="15" t="s">
        <v>688</v>
      </c>
      <c r="BN74" s="15" t="s">
        <v>705</v>
      </c>
      <c r="BO74" s="166" t="s">
        <v>804</v>
      </c>
      <c r="BP74" s="17" t="s">
        <v>1082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1083</v>
      </c>
      <c r="BK75" s="17" t="s">
        <v>1084</v>
      </c>
      <c r="BL75" s="16"/>
      <c r="BM75" s="15" t="s">
        <v>692</v>
      </c>
      <c r="BN75" s="15" t="s">
        <v>692</v>
      </c>
      <c r="BO75" s="166" t="s">
        <v>692</v>
      </c>
      <c r="BP75" s="17" t="s">
        <v>1084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1085</v>
      </c>
      <c r="BK76" s="17" t="s">
        <v>1086</v>
      </c>
      <c r="BL76" s="16"/>
      <c r="BM76" s="15" t="s">
        <v>679</v>
      </c>
      <c r="BN76" s="15" t="s">
        <v>700</v>
      </c>
      <c r="BO76" s="166" t="s">
        <v>768</v>
      </c>
      <c r="BP76" s="17" t="s">
        <v>1086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/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1</v>
      </c>
      <c r="BI77" s="17"/>
      <c r="BJ77" s="17" t="s">
        <v>1087</v>
      </c>
      <c r="BK77" s="17" t="s">
        <v>1088</v>
      </c>
      <c r="BL77" s="16"/>
      <c r="BM77" s="15" t="s">
        <v>686</v>
      </c>
      <c r="BN77" s="15" t="s">
        <v>686</v>
      </c>
      <c r="BO77" s="166" t="s">
        <v>686</v>
      </c>
      <c r="BP77" s="17" t="s">
        <v>317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OKOK</v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1089</v>
      </c>
      <c r="X80" s="219" t="s">
        <v>662</v>
      </c>
      <c r="Y80" s="159"/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1090</v>
      </c>
      <c r="X81" s="219" t="s">
        <v>657</v>
      </c>
      <c r="Y81" s="159"/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1091</v>
      </c>
      <c r="W82" s="174" t="s">
        <v>931</v>
      </c>
      <c r="X82" s="219" t="s">
        <v>662</v>
      </c>
      <c r="Y82" s="159"/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1092</v>
      </c>
      <c r="W83" s="174" t="s">
        <v>931</v>
      </c>
      <c r="X83" s="219" t="s">
        <v>662</v>
      </c>
      <c r="Y83" s="159"/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1093</v>
      </c>
      <c r="W84" s="174" t="s">
        <v>928</v>
      </c>
      <c r="X84" s="219" t="s">
        <v>662</v>
      </c>
      <c r="Y84" s="159"/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1094</v>
      </c>
      <c r="X85" s="219" t="s">
        <v>662</v>
      </c>
      <c r="Y85" s="159"/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1095</v>
      </c>
      <c r="W87" s="174" t="s">
        <v>1096</v>
      </c>
      <c r="X87" s="219" t="s">
        <v>662</v>
      </c>
      <c r="Y87" s="159"/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1074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174" t="s">
        <v>317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199" t="s">
        <v>1008</v>
      </c>
      <c r="W89" s="174" t="s">
        <v>1097</v>
      </c>
      <c r="X89" s="219" t="s">
        <v>662</v>
      </c>
      <c r="Y89" s="159"/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 t="str">
        <f>IF(BS_CONTROLE[[#This Row],[Local - Partida]]=0, "-", BS_CONTROLE[[#This Row],[Local - Partida]])</f>
        <v>-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174" t="s">
        <v>317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199" t="s">
        <v>1008</v>
      </c>
      <c r="W90" s="174" t="s">
        <v>1097</v>
      </c>
      <c r="X90" s="219" t="s">
        <v>662</v>
      </c>
      <c r="Y90" s="159"/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 t="str">
        <f>IF(BS_CONTROLE[[#This Row],[Local - Partida]]=0, "-", BS_CONTROLE[[#This Row],[Local - Partida]])</f>
        <v>-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174"/>
      <c r="I91" s="174"/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199" t="s">
        <v>1008</v>
      </c>
      <c r="W91" s="174" t="s">
        <v>1097</v>
      </c>
      <c r="X91" s="219" t="s">
        <v>662</v>
      </c>
      <c r="Y91" s="159"/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 t="str">
        <f>IF(BS_CONTROLE[[#This Row],[Local - Partida]]=0, "-", BS_CONTROLE[[#This Row],[Local - Partida]])</f>
        <v>-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FRANCENILDO (TF-513)45995</v>
      </c>
      <c r="B93" s="172">
        <v>45995</v>
      </c>
      <c r="C93" s="8">
        <f>IF(BS_CONTROLE[[#This Row],[DATA]]="","",WEEKNUM(BS_CONTROLE[[#This Row],[DATA]]))</f>
        <v>49</v>
      </c>
      <c r="D93" s="52" t="s">
        <v>591</v>
      </c>
      <c r="E93" s="295">
        <v>88</v>
      </c>
      <c r="F93" s="173" t="s">
        <v>506</v>
      </c>
      <c r="G93" s="9" t="str">
        <f>IF(D93="","*",VLOOKUP(F93,BS_ATIVIDADE[#All],3,FALSE))</f>
        <v>TRILHO - SUBSTITUIÇÂO</v>
      </c>
      <c r="H93" s="205" t="str" cm="1">
        <f t="array" ref="H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3" s="174" t="s">
        <v>317</v>
      </c>
      <c r="J93" s="218">
        <v>55</v>
      </c>
      <c r="K93" s="218">
        <v>140.69999999999999</v>
      </c>
      <c r="L93" s="84" t="s">
        <v>317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3" s="174">
        <v>0.41666666666666669</v>
      </c>
      <c r="P93" s="174">
        <v>6.25E-2</v>
      </c>
      <c r="Q93" s="84">
        <v>18</v>
      </c>
      <c r="R93" s="10" t="str">
        <f>IFERROR(_xlfn.XLOOKUP(F93, BS_ATIVIDADE[ATIVIDADE],BS_ATIVIDADE[UNIDADE] ), "*")</f>
        <v>M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1098</v>
      </c>
      <c r="W93" s="174" t="s">
        <v>1094</v>
      </c>
      <c r="X93" s="219" t="s">
        <v>662</v>
      </c>
      <c r="Y93" s="159"/>
      <c r="Z93" s="159" t="s">
        <v>667</v>
      </c>
      <c r="AA93" s="84" t="s">
        <v>317</v>
      </c>
      <c r="AB93" s="71" t="s">
        <v>317</v>
      </c>
      <c r="AC93" s="71" t="s">
        <v>317</v>
      </c>
      <c r="AD93" s="174" t="s">
        <v>317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PDM - SUBSTITUIÇÃO - TRILHO</v>
      </c>
      <c r="AJ93" s="9" t="str">
        <f>IF(D93="","*",VLOOKUP(AI93,BS_ATIVIDADE[#Data],3,FALSE))</f>
        <v>TRILHO - SUBSTITUIÇÂO</v>
      </c>
      <c r="AK93" s="259" t="str">
        <f>IF(BS_CONTROLE[[#This Row],[Local - Partida]]=0, "-", BS_CONTROLE[[#This Row],[Local - Partida]])</f>
        <v>ZMS1402</v>
      </c>
      <c r="AL93" s="259" t="str">
        <f>IF(BS_CONTROLE[[#This Row],[Local - Encerramento]]=0, "-", BS_CONTROLE[[#This Row],[Local - Encerramento]])</f>
        <v>-</v>
      </c>
      <c r="AM93" s="259" t="str">
        <f>IF(BS_CONTROLE[[#This Row],[Entre - Estações]]=0, "-", BS_CONTROLE[[#This Row],[Entre - Estações]])</f>
        <v>ZEM-ZEJ</v>
      </c>
      <c r="AN93" s="259" t="str">
        <f>IF(BS_CONTROLE[[#This Row],[SB]]=0, "-", BS_CONTROLE[[#This Row],[SB]])</f>
        <v>ZMS1402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140.69999999999999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M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Onil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N4245995</v>
      </c>
      <c r="B94" s="172">
        <v>45995</v>
      </c>
      <c r="C94" s="8">
        <f>IF(BS_CONTROLE[[#This Row],[DATA]]="","",WEEKNUM(BS_CONTROLE[[#This Row],[DATA]]))</f>
        <v>49</v>
      </c>
      <c r="D94" s="52" t="s">
        <v>1099</v>
      </c>
      <c r="E94" s="296">
        <v>89</v>
      </c>
      <c r="F94" s="173" t="s">
        <v>331</v>
      </c>
      <c r="G94" s="9" t="str">
        <f>IF(D94="","*",VLOOKUP(F94,BS_ATIVIDADE[#All],3,FALSE))</f>
        <v>OUTROS</v>
      </c>
      <c r="H94" s="174" t="s">
        <v>208</v>
      </c>
      <c r="I94" s="174" t="s">
        <v>145</v>
      </c>
      <c r="J94" s="218"/>
      <c r="K94" s="218"/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BINÁRIO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BASE_MAPA!$D$2:$D$260, BASE_MAPA!$I$2:$I$260), "ERRO")</f>
        <v>ERRO</v>
      </c>
      <c r="V94" s="262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DESLOCAMENTO</v>
      </c>
      <c r="AJ94" s="9" t="str">
        <f>IF(D94="","*",VLOOKUP(AI94,BS_ATIVIDADE[#Data],3,FALSE))</f>
        <v>OUTROS</v>
      </c>
      <c r="AK94" s="259" t="str">
        <f>IF(BS_CONTROLE[[#This Row],[Local - Partida]]=0, "-", BS_CONTROLE[[#This Row],[Local - Partida]])</f>
        <v>ZEM1302</v>
      </c>
      <c r="AL94" s="259" t="str">
        <f>IF(BS_CONTROLE[[#This Row],[Local - Encerramento]]=0, "-", BS_CONTROLE[[#This Row],[Local - Encerramento]])</f>
        <v>Z3VZEV</v>
      </c>
      <c r="AM94" s="259" t="str">
        <f>IF(BS_CONTROLE[[#This Row],[Entre - Estações]]=0, "-", BS_CONTROLE[[#This Row],[Entre - Estações]])</f>
        <v>-</v>
      </c>
      <c r="AN94" s="259" t="str">
        <f>IF(BS_CONTROLE[[#This Row],[SB]]=0, "-", BS_CONTROLE[[#This Row],[SB]])</f>
        <v>-</v>
      </c>
      <c r="AO94" s="260" t="str">
        <f>IF(BS_CONTROLE[[#This Row],[SUB]]=0, "-", BS_CONTROLE[[#This Row],[SUB]])</f>
        <v>-</v>
      </c>
      <c r="AP94" s="261" t="str">
        <f>IF(BS_CONTROLE[[#This Row],[KM - Inicio]]=0, "-", BS_CONTROLE[[#This Row],[KM - Inicio]])</f>
        <v>-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BINÁRIO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BASE_MAPA!$D$2:$D$260, BASE_MAPA!$I$2:$I$260), "ERRO")</f>
        <v>ERRO</v>
      </c>
      <c r="BF94" s="262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e">
        <f t="shared" si="9"/>
        <v>#DIV/0!</v>
      </c>
      <c r="BR94" s="19" t="e">
        <f t="shared" si="10"/>
        <v>#DIV/0!</v>
      </c>
      <c r="BS94" s="19" t="e">
        <f t="shared" si="11"/>
        <v>#DIV/0!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1100</v>
      </c>
      <c r="W96" s="174" t="s">
        <v>1097</v>
      </c>
      <c r="X96" s="219" t="s">
        <v>662</v>
      </c>
      <c r="Y96" s="159"/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145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1101</v>
      </c>
      <c r="X97" s="219" t="s">
        <v>657</v>
      </c>
      <c r="Y97" s="159"/>
      <c r="Z97" s="159" t="s">
        <v>658</v>
      </c>
      <c r="AA97" s="84" t="s">
        <v>1102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Z3VZEV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1103</v>
      </c>
      <c r="X98" s="219" t="s">
        <v>662</v>
      </c>
      <c r="Y98" s="159"/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1104</v>
      </c>
      <c r="X99" s="219" t="s">
        <v>662</v>
      </c>
      <c r="Y99" s="159"/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1105</v>
      </c>
      <c r="N101" s="205" t="s">
        <v>1106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1107</v>
      </c>
      <c r="W101" s="174" t="s">
        <v>1108</v>
      </c>
      <c r="X101" s="219" t="s">
        <v>657</v>
      </c>
      <c r="Y101" s="159"/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1090</v>
      </c>
      <c r="X103" s="219" t="s">
        <v>662</v>
      </c>
      <c r="Y103" s="159"/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/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76:Q96 O98:Q102 O104:Q450" name="Range1_9_1"/>
    <protectedRange sqref="V29:Y30 X6:Y28 X31:Y35 V36:Y50 V52:Y54 X51:Y51 X56:Y61 V61:W61 W55:Y55 V68:V70 X68:Y70 V71:Y73 V74 X74:Y75 V76:Y76 V78:Y79 X77:Y77 V62:Y67 X80:Y81 V82:Y96 X97:Y97 V98:Y102 X103:Y103 V104:Y450" name="Range1_11_1"/>
    <protectedRange sqref="Z29:AD30 Z6:Z28 Z31:Z32 Z43:AD46 Z40:Z42 Z49:AD50 Z47:Z48 Z52:AD55 Z51 Z33:AD39 Z56:Z57 Z58:AD74 Z76:AD76 Z75 Z78:AD79 Z77 Z80:Z81 Z82:AD102 Z104:AD450 Z103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6" operator="equal">
      <formula>"ERRO"</formula>
    </cfRule>
  </conditionalFormatting>
  <conditionalFormatting sqref="X4 Y475:Y550 Y1:Z474">
    <cfRule type="cellIs" dxfId="137" priority="18375" operator="equal">
      <formula>"OPORTUNIDADE"</formula>
    </cfRule>
  </conditionalFormatting>
  <conditionalFormatting sqref="AZ6:AZ522">
    <cfRule type="expression" dxfId="136" priority="18370">
      <formula>$BU6=1</formula>
    </cfRule>
  </conditionalFormatting>
  <conditionalFormatting sqref="BQ6:BQ599">
    <cfRule type="cellIs" dxfId="135" priority="18381" operator="equal">
      <formula>"Produção e Intervalo"</formula>
    </cfRule>
    <cfRule type="cellIs" dxfId="134" priority="18382" operator="equal">
      <formula>"Aderente"</formula>
    </cfRule>
    <cfRule type="cellIs" dxfId="133" priority="18383" operator="equal">
      <formula>"Intervalo"</formula>
    </cfRule>
    <cfRule type="cellIs" dxfId="132" priority="18384" operator="equal">
      <formula>"Produção"</formula>
    </cfRule>
    <cfRule type="cellIs" dxfId="131" priority="18385" operator="equal">
      <formula>"ERRO"</formula>
    </cfRule>
  </conditionalFormatting>
  <conditionalFormatting sqref="BR6:BS552">
    <cfRule type="cellIs" dxfId="130" priority="18363" operator="equal">
      <formula>"*"</formula>
    </cfRule>
    <cfRule type="cellIs" dxfId="129" priority="18364" operator="greaterThanOrEqual">
      <formula>1</formula>
    </cfRule>
    <cfRule type="cellIs" dxfId="128" priority="18365" operator="lessThan">
      <formula>1</formula>
    </cfRule>
  </conditionalFormatting>
  <conditionalFormatting sqref="X475:X522 Y475:Y550 Y6:Z474">
    <cfRule type="cellIs" dxfId="127" priority="18311" operator="equal">
      <formula>"NÃO"</formula>
    </cfRule>
    <cfRule type="cellIs" dxfId="126" priority="18312" operator="equal">
      <formula>"SIM"</formula>
    </cfRule>
  </conditionalFormatting>
  <conditionalFormatting sqref="X475:X522">
    <cfRule type="cellIs" dxfId="125" priority="18310" operator="equal">
      <formula>"OPORTUNIDADE"</formula>
    </cfRule>
  </conditionalFormatting>
  <conditionalFormatting sqref="Z475:Z522">
    <cfRule type="cellIs" dxfId="124" priority="18308" operator="equal">
      <formula>"NÃO"</formula>
    </cfRule>
    <cfRule type="cellIs" dxfId="123" priority="18309" operator="equal">
      <formula>"SIM"</formula>
    </cfRule>
  </conditionalFormatting>
  <conditionalFormatting sqref="Z475:Z522">
    <cfRule type="cellIs" dxfId="122" priority="18307" operator="equal">
      <formula>"OPORTUNIDADE"</formula>
    </cfRule>
  </conditionalFormatting>
  <conditionalFormatting sqref="Y1048575:Y1048576">
    <cfRule type="cellIs" dxfId="121" priority="18192" operator="equal">
      <formula>"OPORTUNIDADE"</formula>
    </cfRule>
  </conditionalFormatting>
  <conditionalFormatting sqref="Y1048575:Y1048576">
    <cfRule type="cellIs" dxfId="120" priority="18190" operator="equal">
      <formula>"NÃO"</formula>
    </cfRule>
    <cfRule type="cellIs" dxfId="119" priority="18191" operator="equal">
      <formula>"SIM"</formula>
    </cfRule>
  </conditionalFormatting>
  <conditionalFormatting sqref="Z523:Z548">
    <cfRule type="cellIs" dxfId="118" priority="17927" operator="equal">
      <formula>"OPORTUNIDADE"</formula>
    </cfRule>
  </conditionalFormatting>
  <conditionalFormatting sqref="Z523:Z548">
    <cfRule type="cellIs" dxfId="117" priority="17925" operator="equal">
      <formula>"NÃO"</formula>
    </cfRule>
    <cfRule type="cellIs" dxfId="116" priority="17926" operator="equal">
      <formula>"SIM"</formula>
    </cfRule>
  </conditionalFormatting>
  <conditionalFormatting sqref="X549">
    <cfRule type="cellIs" dxfId="115" priority="17913" operator="equal">
      <formula>"NÃO"</formula>
    </cfRule>
    <cfRule type="cellIs" dxfId="114" priority="17914" operator="equal">
      <formula>"SIM"</formula>
    </cfRule>
  </conditionalFormatting>
  <conditionalFormatting sqref="X549">
    <cfRule type="cellIs" dxfId="113" priority="17912" operator="equal">
      <formula>"OPORTUNIDADE"</formula>
    </cfRule>
  </conditionalFormatting>
  <conditionalFormatting sqref="Z549">
    <cfRule type="cellIs" dxfId="112" priority="17910" operator="equal">
      <formula>"NÃO"</formula>
    </cfRule>
    <cfRule type="cellIs" dxfId="111" priority="17911" operator="equal">
      <formula>"SIM"</formula>
    </cfRule>
  </conditionalFormatting>
  <conditionalFormatting sqref="Z549">
    <cfRule type="cellIs" dxfId="110" priority="17909" operator="equal">
      <formula>"OPORTUNIDADE"</formula>
    </cfRule>
  </conditionalFormatting>
  <conditionalFormatting sqref="BI549">
    <cfRule type="iconSet" priority="179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19">
      <iconSet showValue="0">
        <cfvo type="percent" val="0"/>
        <cfvo type="num" val="1"/>
        <cfvo type="num" val="1" gte="0"/>
      </iconSet>
    </cfRule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29">
      <formula>$BU492=1</formula>
    </cfRule>
  </conditionalFormatting>
  <conditionalFormatting sqref="AZ525:AZ549">
    <cfRule type="expression" dxfId="108" priority="18689">
      <formula>$BU497=1</formula>
    </cfRule>
  </conditionalFormatting>
  <conditionalFormatting sqref="BI523:BI548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2">
      <iconSet showValue="0">
        <cfvo type="percent" val="0"/>
        <cfvo type="num" val="1"/>
        <cfvo type="num" val="1" gte="0"/>
      </iconSet>
    </cfRule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4" operator="equal">
      <formula>"*"</formula>
    </cfRule>
    <cfRule type="cellIs" dxfId="106" priority="13325" operator="greaterThanOrEqual">
      <formula>1</formula>
    </cfRule>
    <cfRule type="cellIs" dxfId="105" priority="13326" operator="lessThan">
      <formula>1</formula>
    </cfRule>
  </conditionalFormatting>
  <conditionalFormatting sqref="BI6:BI522">
    <cfRule type="iconSet" priority="18713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4">
      <iconSet showValue="0">
        <cfvo type="percent" val="0"/>
        <cfvo type="num" val="1"/>
        <cfvo type="num" val="1" gte="0"/>
      </iconSet>
    </cfRule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P6:BP55 BP71:BP73 BP57:BP60 BP62:BP67 BP77:BP79 BP81:BP599">
    <cfRule type="iconSet" priority="1873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1109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1110</v>
      </c>
      <c r="C4" s="327" t="s">
        <v>1111</v>
      </c>
      <c r="D4" s="327" t="s">
        <v>1112</v>
      </c>
      <c r="E4" s="327" t="s">
        <v>1113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>
      <c r="C1" s="356" t="s">
        <v>1114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1115</v>
      </c>
      <c r="E3" s="327" t="s">
        <v>1116</v>
      </c>
      <c r="F3" s="327" t="s">
        <v>1117</v>
      </c>
      <c r="G3" s="327" t="s">
        <v>1118</v>
      </c>
      <c r="H3" s="327" t="s">
        <v>1119</v>
      </c>
    </row>
    <row r="4" spans="3:8">
      <c r="C4" s="328"/>
      <c r="D4" s="328"/>
      <c r="E4" s="328"/>
      <c r="F4" s="328"/>
      <c r="G4" s="328"/>
      <c r="H4" s="328"/>
    </row>
    <row r="5" spans="3:8">
      <c r="C5" s="328"/>
      <c r="D5" s="328"/>
      <c r="E5" s="328"/>
      <c r="F5" s="328"/>
      <c r="G5" s="328"/>
      <c r="H5" s="328"/>
    </row>
    <row r="6" spans="3:8">
      <c r="C6" s="328"/>
      <c r="D6" s="328"/>
      <c r="E6" s="328"/>
      <c r="F6" s="328"/>
      <c r="G6" s="328"/>
      <c r="H6" s="328"/>
    </row>
    <row r="7" spans="3:8">
      <c r="C7" s="328"/>
      <c r="D7" s="328"/>
      <c r="E7" s="328"/>
      <c r="F7" s="328"/>
      <c r="G7" s="328"/>
      <c r="H7" s="328"/>
    </row>
    <row r="8" spans="3:8">
      <c r="C8" s="328"/>
      <c r="D8" s="328"/>
      <c r="E8" s="328"/>
      <c r="F8" s="328"/>
      <c r="G8" s="328"/>
      <c r="H8" s="328"/>
    </row>
    <row r="9" spans="3:8">
      <c r="C9" s="328"/>
      <c r="D9" s="328"/>
      <c r="E9" s="328"/>
      <c r="F9" s="328"/>
      <c r="G9" s="328"/>
      <c r="H9" s="328"/>
    </row>
    <row r="10" spans="3:8">
      <c r="C10" s="328"/>
      <c r="D10" s="328"/>
      <c r="E10" s="328"/>
      <c r="F10" s="328"/>
      <c r="G10" s="328"/>
      <c r="H10" s="328"/>
    </row>
    <row r="11" spans="3:8">
      <c r="C11" s="328"/>
      <c r="D11" s="328"/>
      <c r="E11" s="328"/>
      <c r="F11" s="328"/>
      <c r="G11" s="328"/>
      <c r="H11" s="328"/>
    </row>
    <row r="12" spans="3:8">
      <c r="C12" s="328"/>
      <c r="D12" s="328"/>
      <c r="E12" s="328"/>
      <c r="F12" s="328"/>
      <c r="G12" s="328"/>
      <c r="H12" s="328"/>
    </row>
    <row r="13" spans="3:8">
      <c r="C13" s="328"/>
      <c r="D13" s="328"/>
      <c r="E13" s="328"/>
      <c r="F13" s="328"/>
      <c r="G13" s="328"/>
      <c r="H13" s="328"/>
    </row>
    <row r="14" spans="3:8">
      <c r="C14" s="328"/>
      <c r="D14" s="328"/>
      <c r="E14" s="328"/>
      <c r="F14" s="328"/>
      <c r="G14" s="328"/>
      <c r="H14" s="328"/>
    </row>
    <row r="15" spans="3:8">
      <c r="C15" s="328"/>
      <c r="D15" s="328"/>
      <c r="E15" s="328"/>
      <c r="F15" s="328"/>
      <c r="G15" s="328"/>
      <c r="H15" s="328"/>
    </row>
    <row r="16" spans="3:8">
      <c r="C16" s="328"/>
      <c r="D16" s="328"/>
      <c r="E16" s="328"/>
      <c r="F16" s="328"/>
      <c r="G16" s="328"/>
      <c r="H16" s="328"/>
    </row>
    <row r="17" spans="3:8">
      <c r="C17" s="328"/>
      <c r="D17" s="328"/>
      <c r="E17" s="328"/>
      <c r="F17" s="328"/>
      <c r="G17" s="328"/>
      <c r="H17" s="328"/>
    </row>
    <row r="18" spans="3:8">
      <c r="C18" s="328"/>
      <c r="D18" s="328"/>
      <c r="E18" s="328"/>
      <c r="F18" s="328"/>
      <c r="G18" s="328"/>
      <c r="H18" s="328"/>
    </row>
    <row r="19" spans="3:8">
      <c r="C19" s="328"/>
      <c r="D19" s="328"/>
      <c r="E19" s="328"/>
      <c r="F19" s="328"/>
      <c r="G19" s="328"/>
      <c r="H19" s="328"/>
    </row>
    <row r="20" spans="3:8">
      <c r="C20" s="328"/>
      <c r="D20" s="328"/>
      <c r="E20" s="328"/>
      <c r="F20" s="328"/>
      <c r="G20" s="328"/>
      <c r="H20" s="328"/>
    </row>
    <row r="21" spans="3:8">
      <c r="C21" s="328"/>
      <c r="D21" s="328"/>
      <c r="E21" s="328"/>
      <c r="F21" s="328"/>
      <c r="G21" s="328"/>
      <c r="H21" s="328"/>
    </row>
    <row r="22" spans="3:8">
      <c r="C22" s="328"/>
      <c r="D22" s="328"/>
      <c r="E22" s="328"/>
      <c r="F22" s="328"/>
      <c r="G22" s="328"/>
      <c r="H22" s="328"/>
    </row>
    <row r="23" spans="3:8">
      <c r="C23" s="328"/>
      <c r="D23" s="328"/>
      <c r="E23" s="328"/>
      <c r="F23" s="328"/>
      <c r="G23" s="328"/>
      <c r="H23" s="328"/>
    </row>
    <row r="24" spans="3:8">
      <c r="C24" s="328"/>
      <c r="D24" s="328"/>
      <c r="E24" s="328"/>
      <c r="F24" s="328"/>
      <c r="G24" s="328"/>
      <c r="H24" s="328"/>
    </row>
    <row r="25" spans="3:8">
      <c r="C25" s="328"/>
      <c r="D25" s="328"/>
      <c r="E25" s="328"/>
      <c r="F25" s="328"/>
      <c r="G25" s="328"/>
      <c r="H25" s="328"/>
    </row>
    <row r="26" spans="3:8">
      <c r="C26" s="328"/>
      <c r="D26" s="328"/>
      <c r="E26" s="328"/>
      <c r="F26" s="328"/>
      <c r="G26" s="328"/>
      <c r="H26" s="328"/>
    </row>
    <row r="27" spans="3:8">
      <c r="C27" s="328"/>
      <c r="D27" s="328"/>
      <c r="E27" s="328"/>
      <c r="F27" s="328"/>
      <c r="G27" s="328"/>
      <c r="H27" s="328"/>
    </row>
    <row r="28" spans="3:8">
      <c r="C28" s="328"/>
      <c r="D28" s="328"/>
      <c r="E28" s="328"/>
      <c r="F28" s="328"/>
      <c r="G28" s="328"/>
      <c r="H28" s="328"/>
    </row>
    <row r="29" spans="3:8">
      <c r="C29" s="328"/>
      <c r="D29" s="328"/>
      <c r="E29" s="328"/>
      <c r="F29" s="328"/>
      <c r="G29" s="328"/>
      <c r="H29" s="328"/>
    </row>
    <row r="30" spans="3:8">
      <c r="C30" s="328"/>
      <c r="D30" s="328"/>
      <c r="E30" s="328"/>
      <c r="F30" s="328"/>
      <c r="G30" s="328"/>
      <c r="H30" s="328"/>
    </row>
    <row r="31" spans="3:8">
      <c r="C31" s="328"/>
      <c r="D31" s="328"/>
      <c r="E31" s="328"/>
      <c r="F31" s="328"/>
      <c r="G31" s="328"/>
      <c r="H31" s="32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:Q5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1120</v>
      </c>
      <c r="D5" s="359"/>
      <c r="E5" s="359"/>
      <c r="F5" s="359"/>
      <c r="G5" s="359"/>
      <c r="H5" s="359"/>
      <c r="I5" s="359"/>
      <c r="J5" s="360"/>
      <c r="K5" s="361" t="s">
        <v>1121</v>
      </c>
      <c r="L5" s="362"/>
      <c r="M5" s="362"/>
      <c r="N5" s="362"/>
      <c r="O5" s="363" t="s">
        <v>1122</v>
      </c>
      <c r="P5" s="364"/>
      <c r="Q5" s="365"/>
    </row>
    <row r="6" spans="1:17" s="94" customFormat="1" ht="15.75" customHeight="1">
      <c r="A6" s="88" t="s">
        <v>1123</v>
      </c>
      <c r="B6" s="95" t="s">
        <v>1124</v>
      </c>
      <c r="C6" s="96" t="s">
        <v>869</v>
      </c>
      <c r="D6" s="97" t="s">
        <v>870</v>
      </c>
      <c r="E6" s="96" t="s">
        <v>1125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1126</v>
      </c>
      <c r="M6" s="140" t="s">
        <v>335</v>
      </c>
      <c r="N6" s="141" t="s">
        <v>864</v>
      </c>
      <c r="O6" s="247" t="s">
        <v>907</v>
      </c>
      <c r="P6" s="158"/>
      <c r="Q6" s="194" t="s">
        <v>1127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1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1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1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1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 t="str">
        <f>IF(SP_SUL!H89="","*",SP_SUL!H89)</f>
        <v>-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 t="str">
        <f>IF(SP_SUL!AK89="","*",SP_SUL!AK89)</f>
        <v>-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 t="str">
        <f>IF(SP_SUL!H90="","*",SP_SUL!H90)</f>
        <v>-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 t="str">
        <f>IF(SP_SUL!AK90="","*",SP_SUL!AK90)</f>
        <v>-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 t="str">
        <f>IF(SP_SUL!H91="","*",SP_SUL!H91)</f>
        <v>*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 t="str">
        <f>IF(SP_SUL!AK91="","*",SP_SUL!AK91)</f>
        <v>-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FRANCENILDO (TF-513)</v>
      </c>
      <c r="F95" s="100" t="str">
        <f>IF(SP_SUL!H93="","*",SP_SUL!H93)</f>
        <v>ZMS1402</v>
      </c>
      <c r="G95" s="100" t="str">
        <f>IF(SP_SUL!M93="","*",SP_SUL!M93)</f>
        <v>ZEM-ZEJ</v>
      </c>
      <c r="H95" s="155">
        <f>IF(SP_SUL!K93="","*",SP_SUL!K93)</f>
        <v>140.69999999999999</v>
      </c>
      <c r="I95" s="133">
        <f>IF(SP_SUL!O93="","*",SP_SUL!O93)</f>
        <v>0.41666666666666669</v>
      </c>
      <c r="J95" s="133">
        <f>IF(SP_SUL!P93="","*",SP_SUL!P93)</f>
        <v>6.25E-2</v>
      </c>
      <c r="K95" s="142" t="str">
        <f>IF(SP_SUL!AK93="","*",SP_SUL!AK93)</f>
        <v>ZMS1402</v>
      </c>
      <c r="L95" s="142" t="str">
        <f>IF(SP_SUL!AM93="","*",SP_SUL!AM93)</f>
        <v>ZEM-ZEJ</v>
      </c>
      <c r="M95" s="142">
        <f>IF(SP_SUL!AP93="","*",SP_SUL!AP93)</f>
        <v>140.69999999999999</v>
      </c>
      <c r="N95" s="142" t="str">
        <f>IF(SP_SUL!AM93="","*",SP_SUL!AM93)</f>
        <v>ZEM-ZEJ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N42</v>
      </c>
      <c r="F96" s="100" t="str">
        <f>IF(SP_SUL!H94="","*",SP_SUL!H94)</f>
        <v>ZEM1302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ZEM1302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Z3VZEV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Z3VZEV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1127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55" sqref="A55:U7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1128</v>
      </c>
      <c r="W1" s="371"/>
      <c r="X1" s="371"/>
      <c r="Y1" s="105"/>
    </row>
    <row r="2" spans="1:25" s="101" customFormat="1" ht="11.25" customHeight="1">
      <c r="A2" s="106" t="s">
        <v>1129</v>
      </c>
      <c r="B2" s="106" t="s">
        <v>1124</v>
      </c>
      <c r="C2" s="106" t="s">
        <v>313</v>
      </c>
      <c r="D2" s="107" t="s">
        <v>869</v>
      </c>
      <c r="E2" s="107" t="s">
        <v>870</v>
      </c>
      <c r="F2" s="107" t="s">
        <v>1123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1130</v>
      </c>
      <c r="U2" s="109" t="s">
        <v>872</v>
      </c>
      <c r="V2" s="104">
        <f ca="1">TODAY()-1</f>
        <v>45993</v>
      </c>
      <c r="W2" s="104">
        <f ca="1">V2-1</f>
        <v>45992</v>
      </c>
      <c r="X2" s="104">
        <f ca="1">W2-1</f>
        <v>45991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>
        <f ca="1">_xlfn.XLOOKUP(G6&amp;$W$2,BS_CONTROLE[CHAVE],BS_CONTROLE[Quantidade_11],"-")</f>
        <v>0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>
        <f ca="1">_xlfn.XLOOKUP(G7&amp;$W$2,BS_CONTROLE[CHAVE],BS_CONTROLE[Quantidade_11],"-")</f>
        <v>0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0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>
        <f ca="1">_xlfn.XLOOKUP(G11&amp;$W$2,BS_CONTROLE[CHAVE],BS_CONTROLE[Quantidade_11],"-")</f>
        <v>0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>
        <f ca="1">_xlfn.XLOOKUP(G12&amp;$W$2,BS_CONTROLE[CHAVE],BS_CONTROLE[Quantidade_11],"-")</f>
        <v>1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>
        <f ca="1">_xlfn.XLOOKUP(G13&amp;$W$2,BS_CONTROLE[CHAVE],BS_CONTROLE[Quantidade_11],"-")</f>
        <v>1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>
        <f ca="1">_xlfn.XLOOKUP(G14&amp;$W$2,BS_CONTROLE[CHAVE],BS_CONTROLE[Quantidade_11],"-")</f>
        <v>1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>
        <f ca="1">_xlfn.XLOOKUP(G15&amp;$W$2,BS_CONTROLE[CHAVE],BS_CONTROLE[Quantidade_11],"-")</f>
        <v>2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>
        <f ca="1">_xlfn.XLOOKUP(G16&amp;$W$2,BS_CONTROLE[CHAVE],BS_CONTROLE[Quantidade_11],"-")</f>
        <v>1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30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>
        <f ca="1">_xlfn.XLOOKUP(G18&amp;$W$2,BS_CONTROLE[CHAVE],BS_CONTROLE[Quantidade_11],"-")</f>
        <v>1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>
        <f ca="1">_xlfn.XLOOKUP(G19&amp;$W$2,BS_CONTROLE[CHAVE],BS_CONTROLE[Quantidade_11],"-")</f>
        <v>1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>
        <f ca="1">_xlfn.XLOOKUP(G20&amp;$W$2,BS_CONTROLE[CHAVE],BS_CONTROLE[Quantidade_11],"-")</f>
        <v>312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>
        <f ca="1">_xlfn.XLOOKUP(G21&amp;$W$2,BS_CONTROLE[CHAVE],BS_CONTROLE[Quantidade_11],"-")</f>
        <v>1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>
        <f ca="1">_xlfn.XLOOKUP(G22&amp;$W$2,BS_CONTROLE[CHAVE],BS_CONTROLE[Quantidade_11],"-")</f>
        <v>1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>
        <f ca="1">_xlfn.XLOOKUP(G23&amp;$W$2,BS_CONTROLE[CHAVE],BS_CONTROLE[Quantidade_11],"-")</f>
        <v>1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>
        <f ca="1">_xlfn.XLOOKUP(G24&amp;$W$2,BS_CONTROLE[CHAVE],BS_CONTROLE[Quantidade_11],"-")</f>
        <v>1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>
        <f ca="1">_xlfn.XLOOKUP(G26&amp;$W$2,BS_CONTROLE[CHAVE],BS_CONTROLE[Quantidade_11],"-")</f>
        <v>1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>
        <f ca="1">_xlfn.XLOOKUP(G31&amp;$W$2,BS_CONTROLE[CHAVE],BS_CONTROLE[Quantidade_11],"-")</f>
        <v>0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>
        <f ca="1">_xlfn.XLOOKUP(G32&amp;$W$2,BS_CONTROLE[CHAVE],BS_CONTROLE[Quantidade_11],"-")</f>
        <v>0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>
        <f ca="1">_xlfn.XLOOKUP(G33&amp;$W$2,BS_CONTROLE[CHAVE],BS_CONTROLE[Quantidade_11],"-")</f>
        <v>0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>
        <f ca="1">_xlfn.XLOOKUP(G35&amp;$V$2,BS_CONTROLE[CHAVE],BS_CONTROLE[Quantidade_11],"-")</f>
        <v>1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>
        <f ca="1">_xlfn.XLOOKUP(G36&amp;$W$2,BS_CONTROLE[CHAVE],BS_CONTROLE[Quantidade_11],"-")</f>
        <v>1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>
        <f ca="1">_xlfn.XLOOKUP(G38&amp;$V$2,BS_CONTROLE[CHAVE],BS_CONTROLE[Quantidade_11],"-")</f>
        <v>1900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>
        <f ca="1">_xlfn.XLOOKUP(G39&amp;$V$2,BS_CONTROLE[CHAVE],BS_CONTROLE[Quantidade_11],"-")</f>
        <v>23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>
        <f ca="1">_xlfn.XLOOKUP(G40&amp;$V$2,BS_CONTROLE[CHAVE],BS_CONTROLE[Quantidade_11],"-")</f>
        <v>1800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>
        <f ca="1">_xlfn.XLOOKUP(G41&amp;$V$2,BS_CONTROLE[CHAVE],BS_CONTROLE[Quantidade_11],"-")</f>
        <v>12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0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>
        <f ca="1">_xlfn.XLOOKUP(G44&amp;$V$2,BS_CONTROLE[CHAVE],BS_CONTROLE[Quantidade_11],"-")</f>
        <v>1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>
        <f ca="1">_xlfn.XLOOKUP(G46&amp;$W$2,BS_CONTROLE[CHAVE],BS_CONTROLE[Quantidade_11],"-")</f>
        <v>1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>
        <f ca="1">_xlfn.XLOOKUP(G47&amp;$W$2,BS_CONTROLE[CHAVE],BS_CONTROLE[Quantidade_11],"-")</f>
        <v>1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30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0</v>
      </c>
      <c r="W56" s="113">
        <f ca="1">_xlfn.XLOOKUP(G56&amp;$W$2,BS_CONTROLE[CHAVE],BS_CONTROLE[Quantidade_11],"-")</f>
        <v>0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0</v>
      </c>
      <c r="W57" s="113">
        <f ca="1">_xlfn.XLOOKUP(G57&amp;$W$2,BS_CONTROLE[CHAVE],BS_CONTROLE[Quantidade_11],"-")</f>
        <v>0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PDM - SUBSTITUIÇÃO - DORMENTE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30 Nº DE DORMENTES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0</v>
      </c>
      <c r="W58" s="113">
        <f ca="1">_xlfn.XLOOKUP(G58&amp;$W$2,BS_CONTROLE[CHAVE],BS_CONTROLE[Quantidade_11],"-")</f>
        <v>0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>
        <f ca="1">_xlfn.XLOOKUP(G60&amp;$V$2,BS_CONTROLE[CHAVE],BS_CONTROLE[Quantidade_11],"-")</f>
        <v>1</v>
      </c>
      <c r="W60" s="113">
        <f ca="1">_xlfn.XLOOKUP(G60&amp;$W$2,BS_CONTROLE[CHAVE],BS_CONTROLE[Quantidade_11],"-")</f>
        <v>1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 t="str">
        <f ca="1">_xlfn.XLOOKUP(G68&amp;$V$2,BS_CONTROLE[CHAVE],BS_CONTROLE[Quantidade_11],"-")</f>
        <v>-</v>
      </c>
      <c r="W68" s="113">
        <f ca="1">_xlfn.XLOOKUP(G68&amp;$W$2,BS_CONTROLE[CHAVE],BS_CONTROLE[Quantidade_11],"-")</f>
        <v>1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0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1</v>
      </c>
      <c r="W72" s="113">
        <f ca="1">_xlfn.XLOOKUP(G72&amp;$W$2,BS_CONTROLE[CHAVE],BS_CONTROLE[Quantidade_11],"-")</f>
        <v>1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30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0</v>
      </c>
      <c r="W80" s="113">
        <f ca="1">_xlfn.XLOOKUP(G80&amp;$W$2,BS_CONTROLE[CHAVE],BS_CONTROLE[Quantidade_11],"-")</f>
        <v>0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0</v>
      </c>
      <c r="W81" s="113">
        <f ca="1">_xlfn.XLOOKUP(G81&amp;$W$2,BS_CONTROLE[CHAVE],BS_CONTROLE[Quantidade_11],"-")</f>
        <v>0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>
        <f ca="1">_xlfn.XLOOKUP(G85&amp;$V$2,BS_CONTROLE[CHAVE],BS_CONTROLE[Quantidade_11],"-")</f>
        <v>12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 t="str">
        <f>IF(SP_SUL!H89="","*",SP_SUL!H89)</f>
        <v>-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 t="str">
        <f>IF(SP_SUL!H90="","*",SP_SUL!H90)</f>
        <v>-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 t="str">
        <f ca="1">_xlfn.XLOOKUP(G89&amp;$V$2,BS_CONTROLE[CHAVE],BS_CONTROLE[Quantidade_11],"-")</f>
        <v>-</v>
      </c>
      <c r="W89" s="113">
        <f ca="1">_xlfn.XLOOKUP(G89&amp;$W$2,BS_CONTROLE[CHAVE],BS_CONTROLE[Quantidade_11],"-")</f>
        <v>1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Oportunidade</v>
      </c>
      <c r="C91" s="110" t="str">
        <f>IF(SP_SUL!Z93="","*",SP_SUL!Z93)</f>
        <v>P2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FRANCENILDO (TF-513)</v>
      </c>
      <c r="H91" s="111" t="str">
        <f>IF(SP_SUL!F93="","*",SP_SUL!F93)</f>
        <v>PDM - SUBSTITUIÇÃO - TRILHO</v>
      </c>
      <c r="I91" s="111" t="str">
        <f>IF(SP_SUL!H93="","*",SP_SUL!H93)</f>
        <v>ZMS1402</v>
      </c>
      <c r="J91" s="111" t="str">
        <f>IF(SP_SUL!I93="","*",SP_SUL!I93)</f>
        <v>-</v>
      </c>
      <c r="K91" s="111" t="str">
        <f>IF(SP_SUL!M93="","*",SP_SUL!M93)</f>
        <v>ZEM-ZEJ</v>
      </c>
      <c r="L91" s="111" t="str">
        <f>IF(SP_SUL!N93="","*",SP_SUL!N93)</f>
        <v>ZMS1402</v>
      </c>
      <c r="M91" s="112">
        <f>IF(SP_SUL!J93="","*",SP_SUL!J93)</f>
        <v>55</v>
      </c>
      <c r="N91" s="271">
        <f>IF(SP_SUL!K93="","*",SP_SUL!K93)</f>
        <v>140.69999999999999</v>
      </c>
      <c r="O91" s="271" t="str">
        <f>IF(SP_SUL!L93="","*",SP_SUL!L93)</f>
        <v>-</v>
      </c>
      <c r="P91" s="112"/>
      <c r="Q91" s="129">
        <f>IF(SP_SUL!O93="","*",SP_SUL!O93)</f>
        <v>0.41666666666666669</v>
      </c>
      <c r="R91" s="129">
        <f>IF(SP_SUL!P93="","*",SP_SUL!P93)</f>
        <v>6.25E-2</v>
      </c>
      <c r="S91" s="111" t="str">
        <f>IF(SP_SUL!Q93="","*",CONCATENATE(SP_SUL!Q93," ",SP_SUL!R93))</f>
        <v>18 M</v>
      </c>
      <c r="T91" s="111" t="str">
        <f>IF(SP_SUL!V93="","*",SP_SUL!V93)</f>
        <v>Onil</v>
      </c>
      <c r="U91" s="111" t="str">
        <f>IF(SP_SUL!W93="","*",SP_SUL!W93)</f>
        <v>Substituição de trilho - Condicionado à temperatura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>
        <f>IF(SP_SUL!B94="","*",SP_SUL!B94)</f>
        <v>45995</v>
      </c>
      <c r="G92" s="111" t="str">
        <f>IF(SP_SUL!D94="","*",SP_SUL!D94)</f>
        <v>N42</v>
      </c>
      <c r="H92" s="111" t="str">
        <f>IF(SP_SUL!F94="","*",SP_SUL!F94)</f>
        <v>DESLOCAMENTO</v>
      </c>
      <c r="I92" s="111" t="str">
        <f>IF(SP_SUL!H94="","*",SP_SUL!H94)</f>
        <v>ZEM1302</v>
      </c>
      <c r="J92" s="111" t="str">
        <f>IF(SP_SUL!I94="","*",SP_SUL!I94)</f>
        <v>Z3VZEV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71" t="str">
        <f>IF(SP_SUL!K94="","*",SP_SUL!K94)</f>
        <v>*</v>
      </c>
      <c r="O92" s="271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1</v>
      </c>
      <c r="W94" s="113">
        <f ca="1">_xlfn.XLOOKUP(G94&amp;$W$2,BS_CONTROLE[CHAVE],BS_CONTROLE[Quantidade_11],"-")</f>
        <v>1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Z3VZEV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>
        <f ca="1">_xlfn.XLOOKUP(G95&amp;$W$2,BS_CONTROLE[CHAVE],BS_CONTROLE[Quantidade_11],"-")</f>
        <v>1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0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>
        <f ca="1">_xlfn.XLOOKUP(G97&amp;$W$2,BS_CONTROLE[CHAVE],BS_CONTROLE[Quantidade_11],"-")</f>
        <v>312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1131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:XFD63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1132</v>
      </c>
      <c r="C2" s="96" t="s">
        <v>854</v>
      </c>
      <c r="D2" s="96" t="s">
        <v>856</v>
      </c>
      <c r="E2" s="96" t="s">
        <v>1133</v>
      </c>
      <c r="F2" s="96" t="s">
        <v>1134</v>
      </c>
      <c r="G2" s="96" t="s">
        <v>1135</v>
      </c>
      <c r="H2" s="96" t="s">
        <v>1136</v>
      </c>
      <c r="I2" s="96" t="s">
        <v>1137</v>
      </c>
      <c r="J2" s="96" t="s">
        <v>1138</v>
      </c>
      <c r="K2" s="132" t="s">
        <v>1139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 hidden="1">
      <c r="B79" s="121" t="str">
        <f>IF(SP_SUL!Y81="","*",SP_SUL!Y81)</f>
        <v>*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 hidden="1">
      <c r="B80" s="121" t="str">
        <f>IF(SP_SUL!Y82="","*",SP_SUL!Y82)</f>
        <v>*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 hidden="1">
      <c r="B81" s="121" t="str">
        <f>IF(SP_SUL!Y83="","*",SP_SUL!Y83)</f>
        <v>*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 hidden="1">
      <c r="B82" s="121" t="str">
        <f>IF(SP_SUL!Y84="","*",SP_SUL!Y84)</f>
        <v>*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 hidden="1">
      <c r="B83" s="121" t="str">
        <f>IF(SP_SUL!Y85="","*",SP_SUL!Y85)</f>
        <v>*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>
        <f>IF(SP_SUL!B89="","*",SP_SUL!B89)</f>
        <v>45995</v>
      </c>
      <c r="D87" s="122" t="str">
        <f>IF(SP_SUL!D89="","*",SP_SUL!D89)</f>
        <v>ADENILSON (TP-512)</v>
      </c>
      <c r="E87" s="122" t="str">
        <f>IF(SP_SUL!H89="","*",SP_SUL!H89)</f>
        <v>-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 hidden="1">
      <c r="B88" s="121" t="str">
        <f>IF(SP_SUL!Y90="","*",SP_SUL!Y90)</f>
        <v>*</v>
      </c>
      <c r="C88" s="122">
        <f>IF(SP_SUL!B90="","*",SP_SUL!B90)</f>
        <v>45995</v>
      </c>
      <c r="D88" s="122" t="str">
        <f>IF(SP_SUL!D90="","*",SP_SUL!D90)</f>
        <v>CAIQUE (TP-869)</v>
      </c>
      <c r="E88" s="122" t="str">
        <f>IF(SP_SUL!H90="","*",SP_SUL!H90)</f>
        <v>-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 hidden="1">
      <c r="B89" s="121" t="str">
        <f>IF(SP_SUL!Y91="","*",SP_SUL!Y91)</f>
        <v>*</v>
      </c>
      <c r="C89" s="122">
        <f>IF(SP_SUL!B91="","*",SP_SUL!B91)</f>
        <v>45995</v>
      </c>
      <c r="D89" s="122" t="str">
        <f>IF(SP_SUL!D91="","*",SP_SUL!D91)</f>
        <v>MATEUS (TP-809)</v>
      </c>
      <c r="E89" s="122" t="str">
        <f>IF(SP_SUL!H91="","*",SP_SUL!H91)</f>
        <v>*</v>
      </c>
      <c r="F89" s="138" t="str">
        <f>IF(SP_SUL!M91="","*",SP_SUL!M91)</f>
        <v>ZWI-ZYQ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>
        <f>IF(SP_SUL!B93="","*",SP_SUL!B93)</f>
        <v>45995</v>
      </c>
      <c r="D91" s="122" t="str">
        <f>IF(SP_SUL!D93="","*",SP_SUL!D93)</f>
        <v>FRANCENILDO (TF-513)</v>
      </c>
      <c r="E91" s="122" t="str">
        <f>IF(SP_SUL!H93="","*",SP_SUL!H93)</f>
        <v>ZMS1402</v>
      </c>
      <c r="F91" s="138" t="str">
        <f>IF(SP_SUL!M93="","*",SP_SUL!M93)</f>
        <v>ZEM-ZEJ</v>
      </c>
      <c r="G91" s="122" t="str">
        <f>IF(SP_SUL!I93="","*",SP_SUL!I93)</f>
        <v>-</v>
      </c>
      <c r="H91" s="122" t="str">
        <f>IF(SP_SUL!AB93="","*",SP_SUL!AB93)</f>
        <v>-</v>
      </c>
      <c r="I91" s="122" t="str">
        <f>IF(SP_SUL!AC93="","*",SP_SUL!AC93)</f>
        <v>-</v>
      </c>
      <c r="J91" s="123" t="str">
        <f>IF(SP_SUL!AA93="","*",SP_SUL!AA93)</f>
        <v>-</v>
      </c>
      <c r="K91" s="135" t="str">
        <f>IF(SP_SUL!AD93="","*",SP_SUL!AD93)</f>
        <v>-</v>
      </c>
    </row>
    <row r="92" spans="2:11" s="124" customFormat="1" hidden="1">
      <c r="B92" s="121" t="str">
        <f>IF(SP_SUL!Y94="","*",SP_SUL!Y94)</f>
        <v>*</v>
      </c>
      <c r="C92" s="122">
        <f>IF(SP_SUL!B94="","*",SP_SUL!B94)</f>
        <v>45995</v>
      </c>
      <c r="D92" s="122" t="str">
        <f>IF(SP_SUL!D94="","*",SP_SUL!D94)</f>
        <v>N42</v>
      </c>
      <c r="E92" s="122" t="str">
        <f>IF(SP_SUL!H94="","*",SP_SUL!H94)</f>
        <v>ZEM1302</v>
      </c>
      <c r="F92" s="138" t="str">
        <f>IF(SP_SUL!M94="","*",SP_SUL!M94)</f>
        <v>-</v>
      </c>
      <c r="G92" s="122" t="str">
        <f>IF(SP_SUL!I94="","*",SP_SUL!I94)</f>
        <v>Z3VZEV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 hidden="1">
      <c r="B95" s="121" t="str">
        <f>IF(SP_SUL!Y97="","*",SP_SUL!Y97)</f>
        <v>*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Z3VZEV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 hidden="1">
      <c r="B96" s="121" t="str">
        <f>IF(SP_SUL!Y98="","*",SP_SUL!Y98)</f>
        <v>*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 hidden="1">
      <c r="B97" s="121" t="str">
        <f>IF(SP_SUL!Y99="","*",SP_SUL!Y99)</f>
        <v>*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 hidden="1">
      <c r="B102" s="121" t="str">
        <f>IF(SP_SUL!Y104="","*",SP_SUL!Y104)</f>
        <v>*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2025-12-03T17:49:07Z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