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943" documentId="8_{B6337239-1A00-434D-AAD0-422EA1FEB5AE}" xr6:coauthVersionLast="47" xr6:coauthVersionMax="47" xr10:uidLastSave="{7E7E4F5F-77C5-4151-9C92-D94CE2D78AC9}"/>
  <bookViews>
    <workbookView xWindow="-120" yWindow="-120" windowWidth="20730" windowHeight="11040" firstSheet="3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1" i="1" l="1" a="1"/>
  <c r="N191" i="1" s="1"/>
  <c r="M191" i="1" a="1"/>
  <c r="M191" i="1" s="1"/>
  <c r="AY178" i="1"/>
  <c r="AY176" i="1"/>
  <c r="AY175" i="1"/>
  <c r="AY174" i="1"/>
  <c r="AY173" i="1"/>
  <c r="AY172" i="1"/>
  <c r="N192" i="1" a="1"/>
  <c r="N192" i="1" s="1"/>
  <c r="M192" i="1" a="1"/>
  <c r="M192" i="1" s="1"/>
  <c r="I192" i="1" a="1"/>
  <c r="I192" i="1" s="1"/>
  <c r="H192" i="1" a="1"/>
  <c r="H192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L188" i="16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K189" i="16"/>
  <c r="L189" i="16"/>
  <c r="R191" i="1"/>
  <c r="S191" i="1" a="1"/>
  <c r="S191" i="1" s="1"/>
  <c r="D189" i="16" s="1"/>
  <c r="T191" i="1" a="1"/>
  <c r="T191" i="1" s="1"/>
  <c r="E189" i="16" s="1"/>
  <c r="AI191" i="1"/>
  <c r="BB191" i="1" s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K190" i="16"/>
  <c r="L190" i="16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K192" i="16"/>
  <c r="L192" i="16"/>
  <c r="R194" i="1"/>
  <c r="R192" i="16" s="1"/>
  <c r="S194" i="1" a="1"/>
  <c r="S194" i="1" s="1"/>
  <c r="D192" i="16" s="1"/>
  <c r="T194" i="1" a="1"/>
  <c r="T194" i="1" s="1"/>
  <c r="E192" i="16" s="1"/>
  <c r="AI194" i="1"/>
  <c r="BB194" i="1" s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K193" i="16"/>
  <c r="L193" i="16"/>
  <c r="R195" i="1"/>
  <c r="S195" i="1" a="1"/>
  <c r="S195" i="1" s="1"/>
  <c r="D193" i="16" s="1"/>
  <c r="T195" i="1" a="1"/>
  <c r="T195" i="1" s="1"/>
  <c r="E193" i="16" s="1"/>
  <c r="AI195" i="1"/>
  <c r="BB195" i="1" s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1" i="1" l="1"/>
  <c r="AJ191" i="1"/>
  <c r="AJ195" i="1"/>
  <c r="AJ194" i="1"/>
  <c r="AJ192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<sst xmlns="http://schemas.openxmlformats.org/spreadsheetml/2006/main" count="6426" uniqueCount="1702">
  <si>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</si>
  <si>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</si>
  <si>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</si>
  <si>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</si>
  <si>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</si>
  <si>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</si>
  <si>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</si>
  <si>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</si>
  <si>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</si>
  <si>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</si>
  <si>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</si>
  <si>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</si>
  <si>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</si>
  <si>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</si>
  <si>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</si>
  <si>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</si>
  <si>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</si>
  <si>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</si>
  <si>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</si>
  <si>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</si>
  <si>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</si>
  <si>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</si>
  <si>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</si>
  <si>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</si>
  <si>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</si>
  <si>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</si>
  <si>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</si>
  <si>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</si>
  <si>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</si>
  <si>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</si>
  <si>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</si>
  <si>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</si>
  <si>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</si>
  <si>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</si>
  <si>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</si>
  <si>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</si>
  <si>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</si>
  <si>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</si>
  <si>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</si>
  <si>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</si>
  <si>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</si>
  <si>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</si>
  <si>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</si>
  <si>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</si>
  <si>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</si>
  <si>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</si>
  <si>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</si>
  <si>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</si>
  <si>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</si>
  <si>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</si>
  <si>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</si>
  <si>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</si>
  <si>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</si>
  <si>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</si>
  <si>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</si>
  <si>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</si>
  <si>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</si>
  <si>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</si>
  <si>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</si>
  <si>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</si>
  <si>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</si>
  <si>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</si>
  <si>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</si>
  <si>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</si>
  <si>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</si>
  <si>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</si>
  <si>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</si>
  <si>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</si>
  <si>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</si>
  <si>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</si>
  <si>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</si>
  <si>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</si>
  <si>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</si>
  <si>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</si>
  <si>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</si>
  <si>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</si>
  <si>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</si>
  <si>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</si>
  <si>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</si>
  <si>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</si>
  <si>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</si>
  <si>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</si>
  <si>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</si>
  <si>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</si>
  <si>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</si>
  <si>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</si>
  <si>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</si>
  <si>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</si>
  <si>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</si>
  <si>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</si>
  <si>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</si>
  <si>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</si>
  <si>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</si>
  <si>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</si>
  <si>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</si>
  <si>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</si>
  <si>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</si>
  <si>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</si>
  <si>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</si>
  <si>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</si>
  <si>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</si>
  <si>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</si>
  <si>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</si>
  <si>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</si>
  <si>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</si>
  <si>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</si>
  <si>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</si>
  <si>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</si>
  <si>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</si>
  <si>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</si>
  <si>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</si>
  <si>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</si>
  <si>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</si>
  <si>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</si>
  <si>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</si>
  <si>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</si>
  <si>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</si>
  <si>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</si>
  <si>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</si>
  <si>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</si>
  <si>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</si>
  <si>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</si>
  <si>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</si>
  <si>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</si>
  <si>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</si>
  <si>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</si>
  <si>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</si>
  <si>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</si>
  <si>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</si>
  <si>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</si>
  <si>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</si>
  <si>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</si>
  <si>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</si>
  <si>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</si>
  <si>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</si>
  <si>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</si>
  <si>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</si>
  <si>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</si>
  <si>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</si>
  <si>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</si>
  <si>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</si>
  <si>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</si>
  <si>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</si>
  <si>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</si>
  <si>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</si>
  <si>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</si>
  <si>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</si>
  <si>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</si>
  <si>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</si>
  <si>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</si>
  <si>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</si>
  <si>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</si>
  <si>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</si>
  <si>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</si>
  <si>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</si>
  <si>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</si>
  <si>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</si>
  <si>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</si>
  <si>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</si>
  <si>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</si>
  <si>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</si>
  <si>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</si>
  <si>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</si>
  <si>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</si>
  <si>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</si>
  <si>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</si>
  <si>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</si>
  <si>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</si>
  <si>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</si>
  <si>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</si>
  <si>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</si>
  <si>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</si>
  <si>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</si>
  <si>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</si>
  <si>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</si>
  <si>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</si>
  <si>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</si>
  <si>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</si>
  <si>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</si>
  <si>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</si>
  <si>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</si>
  <si>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</si>
  <si>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</si>
  <si>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</si>
  <si>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</si>
  <si>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</si>
  <si>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</si>
  <si>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</si>
  <si>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</si>
  <si>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</si>
  <si>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</si>
  <si>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</si>
  <si>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</si>
  <si>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</si>
  <si>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</si>
  <si>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</si>
  <si>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</si>
  <si>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</si>
  <si>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</si>
  <si>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</si>
  <si>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</si>
  <si>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</si>
  <si>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</si>
  <si>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</si>
  <si>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</si>
  <si>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</si>
  <si>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</si>
  <si>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</si>
  <si>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</si>
  <si>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</si>
  <si>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</si>
  <si>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</si>
  <si>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</si>
  <si>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</si>
  <si>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</si>
  <si>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</si>
  <si>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</si>
  <si>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</si>
  <si>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</si>
  <si>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</si>
  <si>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</si>
  <si>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</si>
  <si>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</si>
  <si>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</si>
  <si>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</si>
  <si>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</si>
  <si>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</si>
  <si>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</si>
  <si>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</si>
  <si>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</si>
  <si>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</si>
  <si>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</si>
  <si>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</si>
  <si>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</si>
  <si>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</si>
  <si>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</si>
  <si>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</si>
  <si>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</si>
  <si>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</si>
  <si>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</si>
  <si>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</si>
  <si>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</si>
  <si>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</si>
  <si>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</si>
  <si>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</si>
  <si>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</si>
  <si>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</si>
  <si>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</si>
  <si>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</si>
  <si>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</si>
  <si>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</si>
  <si>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</si>
  <si>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</si>
  <si>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</si>
  <si>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</si>
  <si>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</si>
  <si>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</si>
  <si>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</si>
  <si>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</si>
  <si>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</si>
  <si>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</si>
  <si>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</si>
  <si>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</si>
  <si>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</si>
  <si>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</si>
  <si>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</si>
  <si>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</si>
  <si>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</si>
  <si>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</si>
  <si>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</si>
  <si>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</si>
  <si>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</si>
  <si>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</si>
  <si>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</si>
  <si>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</si>
  <si>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</si>
  <si>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</si>
  <si>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</si>
  <si>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</si>
  <si>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</si>
  <si>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</si>
  <si>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</si>
  <si>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</si>
  <si>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</si>
  <si>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</si>
  <si>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</si>
  <si>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</si>
  <si>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</si>
  <si>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</si>
  <si>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</si>
  <si>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</si>
  <si>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</si>
  <si>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</si>
  <si>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</si>
  <si>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</si>
  <si>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</si>
  <si>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</si>
  <si>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</si>
  <si>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</si>
  <si>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</si>
  <si>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</si>
  <si>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</si>
  <si>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</si>
  <si>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</si>
  <si>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</si>
  <si>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</si>
  <si>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</si>
  <si>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</si>
  <si>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</si>
  <si>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</si>
  <si>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</si>
  <si>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</si>
  <si>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</si>
  <si>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</si>
  <si>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</si>
  <si>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</si>
  <si>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</si>
  <si>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</si>
  <si>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</si>
  <si>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</si>
  <si>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</si>
  <si>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</si>
  <si>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</si>
  <si>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</si>
  <si>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</si>
  <si>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</si>
  <si>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</si>
  <si>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</si>
  <si>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</si>
  <si>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</si>
  <si>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</si>
  <si>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</si>
  <si>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</si>
  <si>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</si>
  <si>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</si>
  <si>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</si>
  <si>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</si>
  <si>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</si>
  <si>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</si>
  <si>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</si>
  <si>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</si>
  <si>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</si>
  <si>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</si>
  <si>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</si>
  <si>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</si>
  <si>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</si>
  <si>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</si>
  <si>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</si>
  <si>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</si>
  <si>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</si>
  <si>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</si>
  <si>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</si>
  <si>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</si>
  <si>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</si>
  <si>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</si>
  <si>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</si>
  <si>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</si>
  <si>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</si>
  <si>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</si>
  <si>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</si>
  <si>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</si>
  <si>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</si>
  <si>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</si>
  <si>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</si>
  <si>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</si>
  <si>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</si>
  <si>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</si>
  <si>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</si>
  <si>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</si>
  <si>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</si>
  <si>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</si>
  <si>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</si>
  <si>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</si>
  <si>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</si>
  <si>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</si>
  <si>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</si>
  <si>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</si>
  <si>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</si>
  <si>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</si>
  <si>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</si>
  <si>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</si>
  <si>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</si>
  <si>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</si>
  <si>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</si>
  <si>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</si>
  <si>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</si>
  <si>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</si>
  <si>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</si>
  <si>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</si>
  <si>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</si>
  <si>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</si>
  <si>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</si>
  <si>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</si>
  <si>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</si>
  <si>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</si>
  <si>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</si>
  <si>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</si>
  <si>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</si>
  <si>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</si>
  <si>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</si>
  <si>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</si>
  <si>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</si>
  <si>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</si>
  <si>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</si>
  <si>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</si>
  <si>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</si>
  <si>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</si>
  <si>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</si>
  <si>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</si>
  <si>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</si>
  <si>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</si>
  <si>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</si>
  <si>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</si>
  <si>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</si>
  <si>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</si>
  <si>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</si>
  <si>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</si>
  <si>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</si>
  <si>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</si>
  <si>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</si>
  <si>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</si>
  <si>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</si>
  <si>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</si>
  <si>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</si>
  <si>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</si>
  <si>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</si>
  <si>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</si>
  <si>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</si>
  <si>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</si>
  <si>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</si>
  <si>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</si>
  <si>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</si>
  <si>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</si>
  <si>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</si>
  <si>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</si>
  <si>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</si>
  <si>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</si>
  <si>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</si>
  <si>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</si>
  <si>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</si>
  <si>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</si>
  <si>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</si>
  <si>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</si>
  <si>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</si>
  <si>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</si>
  <si>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</si>
  <si>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</si>
  <si>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</si>
  <si>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</si>
  <si>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</si>
  <si>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</si>
  <si>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</si>
  <si>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</si>
  <si>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</si>
  <si>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</si>
  <si>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</si>
  <si>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</si>
  <si>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</si>
  <si>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</si>
  <si>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</si>
  <si>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</si>
  <si>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</si>
  <si>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</si>
  <si>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</si>
  <si>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</si>
  <si>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</si>
  <si>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</si>
  <si>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</si>
  <si>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</si>
  <si>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</si>
  <si>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</si>
  <si>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</si>
  <si>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</si>
  <si>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</si>
  <si>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</si>
  <si>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</si>
  <si>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</si>
  <si>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</si>
  <si>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</si>
  <si>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</si>
  <si>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</si>
  <si>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</si>
  <si>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</si>
  <si>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</si>
  <si>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</si>
  <si>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</si>
  <si>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</si>
  <si>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</si>
  <si>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</si>
  <si>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</si>
  <si>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</si>
  <si>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</si>
  <si>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</si>
  <si>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</si>
  <si>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</si>
  <si>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</si>
  <si>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</si>
  <si>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</si>
  <si>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</si>
  <si>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</si>
  <si>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</si>
  <si>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</si>
  <si>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</si>
  <si>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</si>
  <si>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</si>
  <si>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</si>
  <si>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</si>
  <si>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</si>
  <si>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</si>
  <si>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</si>
  <si>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</si>
  <si>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</si>
  <si>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</si>
  <si>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</si>
  <si>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</si>
  <si>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</si>
  <si>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</si>
  <si>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</si>
  <si>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</si>
  <si>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</si>
  <si>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</si>
  <si>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</si>
  <si>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</si>
  <si>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</si>
  <si>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</si>
  <si>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</si>
  <si>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</si>
  <si>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</si>
  <si>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</si>
  <si>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</si>
  <si>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</si>
  <si>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</si>
  <si>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</si>
  <si>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</si>
  <si>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</si>
  <si>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</si>
  <si>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</si>
  <si>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</si>
  <si>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</si>
  <si>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</si>
  <si>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</si>
  <si>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</si>
  <si>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</si>
  <si>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</si>
  <si>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</si>
  <si>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</si>
  <si>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</si>
  <si>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</si>
  <si>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</si>
  <si>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</si>
  <si>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</si>
  <si>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</si>
  <si>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</si>
  <si>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</si>
  <si>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</si>
  <si>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</si>
  <si>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</si>
  <si>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</si>
  <si>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</si>
  <si>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</si>
  <si>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</si>
  <si>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</si>
  <si>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</si>
  <si>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</si>
  <si>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</si>
  <si>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</si>
  <si>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</si>
  <si>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</si>
  <si>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</si>
  <si>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</si>
  <si>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</si>
  <si>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</si>
  <si>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</si>
  <si>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</si>
  <si>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</si>
  <si>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</si>
  <si>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</si>
  <si>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</si>
  <si>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</si>
  <si>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</si>
  <si>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</si>
  <si>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</si>
  <si>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</si>
  <si>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</si>
  <si>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</si>
  <si>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</si>
  <si>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</si>
  <si>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</si>
  <si>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</si>
  <si>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</si>
  <si>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</si>
  <si>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</si>
  <si>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</si>
  <si>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</si>
  <si>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</si>
  <si>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</si>
  <si>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</si>
  <si>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</si>
  <si>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</si>
  <si>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</si>
  <si>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</si>
  <si>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</si>
  <si>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</si>
  <si>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</si>
  <si>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</si>
  <si>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</si>
  <si>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</si>
  <si>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</si>
  <si>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</si>
  <si>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</si>
  <si>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</si>
  <si>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</si>
  <si>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</si>
  <si>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</si>
  <si>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</si>
  <si>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</si>
  <si>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</si>
  <si>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</si>
  <si>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</si>
  <si>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</si>
  <si>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</si>
  <si>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</si>
  <si>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</si>
  <si>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</si>
  <si>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</si>
  <si>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</si>
  <si>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</si>
  <si>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</si>
  <si>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</si>
  <si>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</si>
  <si>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</si>
  <si>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</si>
  <si>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</si>
  <si>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</si>
  <si>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</si>
  <si>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</si>
  <si>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</si>
  <si>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</si>
  <si>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</si>
  <si>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</si>
  <si>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</si>
  <si>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</si>
  <si>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</si>
  <si>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</si>
  <si>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</si>
  <si>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</si>
  <si>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</si>
  <si>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</si>
  <si>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</si>
  <si>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</si>
  <si>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</si>
  <si>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</si>
  <si>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</si>
  <si>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</si>
  <si>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</si>
  <si>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</si>
  <si>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</si>
  <si>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</si>
  <si>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</si>
  <si>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</si>
  <si>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</si>
  <si>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</si>
  <si>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</si>
  <si>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</si>
  <si>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</si>
  <si>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</si>
  <si>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</si>
  <si>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</si>
  <si>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</si>
  <si>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</si>
  <si>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</si>
  <si>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</si>
  <si>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</si>
  <si>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</si>
  <si>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</si>
  <si>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</si>
  <si>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</si>
  <si>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</si>
  <si>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</si>
  <si>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</si>
  <si>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</si>
  <si>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</si>
  <si>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</si>
  <si>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</si>
  <si>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</si>
  <si>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</si>
  <si>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</si>
  <si>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</si>
  <si>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</si>
  <si>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</si>
  <si>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</si>
  <si>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</si>
  <si>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</si>
  <si>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</si>
  <si>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</si>
  <si>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</si>
  <si>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</si>
  <si>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</si>
  <si>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</si>
  <si>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</si>
  <si>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</si>
  <si>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</si>
  <si>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</si>
  <si>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</si>
  <si>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</si>
  <si>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</si>
  <si>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</si>
  <si>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</si>
  <si>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</si>
  <si>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</si>
  <si>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</si>
  <si>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</si>
  <si>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</si>
  <si>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</si>
  <si>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</si>
  <si>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</si>
  <si>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</si>
  <si>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</si>
  <si>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</si>
  <si>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</si>
  <si>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</si>
  <si>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</si>
  <si>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</si>
  <si>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</si>
  <si>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</si>
  <si>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</si>
  <si>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</si>
  <si>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</si>
  <si>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</si>
  <si>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</si>
  <si>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</si>
  <si>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</si>
  <si>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</si>
  <si>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</si>
  <si>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</si>
  <si>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</si>
  <si>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</si>
  <si>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</si>
  <si>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</si>
  <si>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</si>
  <si>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</si>
  <si>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</si>
  <si>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</si>
  <si>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</si>
  <si>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</si>
  <si>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</si>
  <si>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</si>
  <si>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</si>
  <si>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</si>
  <si>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</si>
  <si>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</si>
  <si>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</si>
  <si>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</si>
  <si>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</si>
  <si>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</si>
  <si>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</si>
  <si>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</si>
  <si>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</si>
  <si>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</si>
  <si>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</si>
  <si>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</si>
  <si>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</si>
  <si>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</si>
  <si>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</si>
  <si>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</si>
  <si>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</si>
  <si>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</si>
  <si>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</si>
  <si>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</si>
  <si>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</si>
  <si>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</si>
  <si>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</si>
  <si>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</si>
  <si>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</si>
  <si>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</si>
  <si>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</si>
  <si>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</si>
  <si>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</si>
  <si>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</si>
  <si>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</si>
  <si>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</si>
  <si>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</si>
  <si>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</si>
  <si>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</si>
  <si>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</si>
  <si>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</si>
  <si>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</si>
  <si>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</si>
  <si>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</si>
  <si>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</si>
  <si>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</si>
  <si>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</si>
  <si>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</si>
  <si>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</si>
  <si>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</si>
  <si>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</si>
  <si>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</si>
  <si>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</si>
  <si>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</si>
  <si>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</si>
  <si>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</si>
  <si>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</si>
  <si>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</si>
  <si>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</si>
  <si>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</si>
  <si>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</si>
  <si>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</si>
  <si>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</si>
  <si>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</si>
  <si>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</si>
  <si>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</si>
  <si>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</si>
  <si>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</si>
  <si>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</si>
  <si>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</si>
  <si>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</si>
  <si>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</si>
  <si>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</si>
  <si>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</si>
  <si>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</si>
  <si>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</si>
  <si>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</si>
  <si>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</si>
  <si>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</si>
  <si>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</si>
  <si>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</si>
  <si>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</si>
  <si>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</si>
  <si>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</si>
  <si>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</si>
  <si>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</si>
  <si>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</si>
  <si>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</si>
  <si>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</si>
  <si>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</si>
  <si>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</si>
  <si>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</si>
  <si>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</si>
  <si>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</si>
  <si>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</si>
  <si>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</si>
  <si>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</si>
  <si>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</si>
  <si>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</si>
  <si>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</si>
  <si>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</si>
  <si>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</si>
  <si>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</si>
  <si>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</si>
  <si>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</si>
  <si>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</si>
  <si>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</si>
  <si>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</si>
  <si>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</si>
  <si>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</si>
  <si>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</si>
  <si>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</si>
  <si>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</si>
  <si>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</si>
  <si>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</si>
  <si>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</si>
  <si>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</si>
  <si>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</si>
  <si>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</si>
  <si>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</si>
  <si>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</si>
  <si>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</si>
  <si>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</si>
  <si>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</si>
  <si>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</si>
  <si>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</si>
  <si>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</si>
  <si>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</si>
  <si>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</si>
  <si>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</si>
  <si>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</si>
  <si>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</si>
  <si>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</si>
  <si>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</si>
  <si>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</si>
  <si>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</si>
  <si>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</si>
  <si>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</si>
  <si>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</si>
  <si>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</si>
  <si>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</si>
  <si>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</si>
  <si>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</si>
  <si>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</si>
  <si>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</si>
  <si>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</si>
  <si>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</si>
  <si>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</si>
  <si>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</si>
  <si>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</si>
  <si>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</si>
  <si>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</si>
  <si>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</si>
  <si>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</si>
  <si>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</si>
  <si>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</si>
  <si>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</si>
  <si>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</si>
  <si>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</si>
  <si>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</si>
  <si>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</si>
  <si>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</si>
  <si>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</si>
  <si>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</si>
  <si>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</si>
  <si>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</si>
  <si>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</si>
  <si>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</si>
  <si>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</si>
  <si>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</si>
  <si>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</si>
  <si>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</si>
  <si>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</si>
  <si>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</si>
  <si>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</si>
  <si>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</si>
  <si>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</si>
  <si>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</si>
  <si>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</si>
  <si>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</si>
  <si>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</si>
  <si>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</si>
  <si>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</si>
  <si>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</si>
  <si>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</si>
  <si>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</si>
  <si>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</si>
  <si>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</si>
  <si>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</si>
  <si>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</si>
  <si>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</si>
  <si>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</si>
  <si>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</si>
  <si>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</si>
  <si>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</si>
  <si>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</si>
  <si>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</si>
  <si>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</si>
  <si>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</si>
  <si>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</si>
  <si>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</si>
  <si>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</si>
  <si>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</si>
  <si>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</si>
  <si>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</si>
  <si>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</si>
  <si>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</si>
  <si>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</si>
  <si>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</si>
  <si>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</si>
  <si>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</si>
  <si>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</si>
  <si>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</si>
  <si>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</si>
  <si>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</si>
  <si>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</si>
  <si>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</si>
  <si>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</si>
  <si>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</si>
  <si>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</si>
  <si>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</si>
  <si>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</si>
  <si>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</si>
  <si>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</si>
  <si>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</si>
  <si>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</si>
  <si>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</si>
  <si>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</si>
  <si>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</si>
  <si>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</si>
  <si>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</si>
  <si>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</si>
  <si>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</si>
  <si>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</si>
  <si>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</si>
  <si>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</si>
  <si>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</si>
  <si>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</si>
  <si>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</si>
  <si>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</si>
  <si>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</si>
  <si>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</si>
  <si>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</si>
  <si>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</si>
  <si>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</si>
  <si>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</si>
  <si>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</si>
  <si>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</si>
  <si>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</si>
  <si>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</si>
  <si>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</si>
  <si>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</si>
  <si>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</si>
  <si>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</si>
  <si>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</si>
  <si>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</si>
  <si>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</si>
  <si>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</si>
  <si>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</si>
  <si>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</si>
  <si>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</si>
  <si>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</si>
  <si>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</si>
  <si>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</si>
  <si>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</si>
  <si>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</si>
  <si>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</si>
  <si>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</si>
  <si>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</si>
  <si>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</si>
  <si>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</si>
  <si>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</si>
  <si>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</si>
  <si>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</si>
  <si>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</si>
  <si>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</si>
  <si>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</si>
  <si>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</si>
  <si>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</si>
  <si>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</si>
  <si>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</si>
  <si>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</si>
  <si>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</si>
  <si>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</si>
  <si>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</si>
  <si>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</si>
  <si>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</si>
  <si>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</si>
  <si>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</si>
  <si>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</si>
  <si>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</si>
  <si>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</si>
  <si>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</si>
  <si>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</si>
  <si>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</si>
  <si>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</si>
  <si>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</si>
  <si>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</si>
  <si>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</si>
  <si>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</si>
  <si>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</si>
  <si>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</si>
  <si>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</si>
  <si>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</si>
  <si>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</si>
  <si>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</si>
  <si>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</si>
  <si>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</si>
  <si>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</si>
  <si>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</si>
  <si>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</si>
  <si>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</si>
  <si>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</si>
  <si>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</si>
  <si>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</si>
  <si>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</si>
  <si>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</si>
  <si>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</si>
  <si>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</si>
  <si>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</si>
  <si>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</si>
  <si>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</si>
  <si>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</si>
  <si>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</si>
  <si>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</si>
  <si>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</si>
  <si>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</si>
  <si>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</si>
  <si>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</si>
  <si>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</si>
  <si>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</si>
  <si>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</si>
  <si>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</si>
  <si>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</si>
  <si>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</si>
  <si>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</si>
  <si>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</si>
  <si>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</si>
  <si>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</si>
  <si>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</si>
  <si>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</si>
  <si>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</si>
  <si>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</si>
  <si>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</si>
  <si>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</si>
  <si>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</si>
  <si>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</si>
  <si>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</si>
  <si>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</si>
  <si>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</si>
  <si>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</si>
  <si>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</si>
  <si>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</si>
  <si>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</si>
  <si>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</si>
  <si>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</si>
  <si>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</si>
  <si>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</si>
  <si>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</si>
  <si>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</si>
  <si>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</si>
  <si>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</si>
  <si>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</si>
  <si>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</si>
  <si>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</si>
  <si>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</si>
  <si>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</si>
  <si>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</si>
  <si>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</si>
  <si>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</si>
  <si>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</si>
  <si>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</si>
  <si>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</si>
  <si>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</si>
  <si>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</si>
  <si>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</si>
  <si>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</si>
  <si>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</si>
  <si>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</si>
  <si>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</si>
  <si>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</si>
  <si>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</si>
  <si>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</si>
  <si>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</si>
  <si>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</si>
  <si>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</si>
  <si>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</si>
  <si>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</si>
  <si>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</si>
  <si>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</si>
  <si>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</si>
  <si>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</si>
  <si>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</si>
  <si>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</si>
  <si>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</si>
  <si>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</si>
  <si>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</si>
  <si>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</si>
  <si>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</si>
  <si>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</si>
  <si>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</si>
  <si>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</si>
  <si>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</si>
  <si>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</si>
  <si>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</si>
  <si>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</si>
  <si>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</si>
  <si>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</si>
  <si>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</si>
  <si>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</si>
  <si>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</si>
  <si>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</si>
  <si>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</si>
  <si>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</si>
  <si>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</si>
  <si>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</si>
  <si>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</si>
  <si>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</si>
  <si>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</si>
  <si>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</si>
  <si>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</si>
  <si>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</si>
  <si>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</si>
  <si>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</si>
  <si>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</si>
  <si>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</si>
  <si>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</si>
  <si>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</si>
  <si>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</si>
  <si>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</si>
  <si>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</si>
  <si>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</si>
  <si>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</si>
  <si>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</si>
  <si>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</si>
  <si>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</si>
  <si>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</si>
  <si>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</si>
  <si>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</si>
  <si>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</si>
  <si>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</si>
  <si>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</si>
  <si>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</si>
  <si>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</si>
  <si>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</si>
  <si>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</si>
  <si>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</si>
  <si>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</si>
  <si>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</si>
  <si>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</si>
  <si>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</si>
  <si>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</si>
  <si>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</si>
  <si>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</si>
  <si>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</si>
  <si>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</si>
  <si>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</si>
  <si>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</si>
  <si>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</si>
  <si>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</si>
  <si>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</si>
  <si>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</si>
  <si>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</si>
  <si>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</si>
  <si>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</si>
  <si>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</si>
  <si>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</si>
  <si>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</si>
  <si>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</si>
  <si>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</si>
  <si>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</si>
  <si>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</si>
  <si>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</si>
  <si>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</si>
  <si>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</si>
  <si>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</si>
  <si>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</si>
  <si>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</si>
  <si>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</si>
  <si>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</si>
  <si>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</si>
  <si>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</si>
  <si>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</si>
  <si>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</si>
  <si>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</si>
  <si>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</si>
  <si>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</si>
  <si>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</si>
  <si>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</si>
  <si>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</si>
  <si>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</si>
  <si>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</si>
  <si>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</si>
  <si>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</si>
  <si>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</si>
  <si>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</si>
  <si>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</si>
  <si>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</si>
  <si>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</si>
  <si>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</si>
  <si>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</si>
  <si>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</si>
  <si>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</si>
  <si>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</si>
  <si>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</si>
  <si>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</si>
  <si>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</si>
  <si>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</si>
  <si>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</si>
  <si>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</si>
  <si>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</si>
  <si>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</si>
  <si>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</si>
  <si>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</si>
  <si>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</si>
  <si>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</si>
  <si>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</si>
  <si>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</si>
  <si>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</si>
  <si>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</si>
  <si>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</si>
  <si>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</si>
  <si>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</si>
  <si>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</si>
  <si>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</si>
  <si>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</si>
  <si>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</si>
  <si>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</si>
  <si>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</si>
  <si>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</si>
  <si>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</si>
  <si>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</si>
  <si>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</si>
  <si>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</si>
  <si>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</si>
  <si>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</si>
  <si>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</si>
  <si>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</si>
  <si>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</si>
  <si>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</si>
  <si>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</si>
  <si>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</si>
  <si>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</si>
  <si>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</si>
  <si>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</si>
  <si>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</si>
  <si>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</si>
  <si>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</si>
  <si>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</si>
  <si>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</si>
  <si>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</si>
  <si>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</si>
  <si>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</si>
  <si>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</si>
  <si>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</si>
  <si>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</si>
  <si>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</si>
  <si>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</si>
  <si>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</si>
  <si>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</si>
  <si>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</si>
  <si>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</si>
  <si>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</si>
  <si>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</si>
  <si>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</si>
  <si>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</si>
  <si>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</si>
  <si>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</si>
  <si>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</si>
  <si>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</si>
  <si>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</si>
  <si>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</si>
  <si>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</si>
  <si>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</si>
  <si>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</si>
  <si>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</si>
  <si>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</si>
  <si>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</si>
  <si>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</si>
  <si>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</si>
  <si>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</si>
  <si>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</si>
  <si>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</si>
  <si>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</si>
  <si>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</si>
  <si>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</si>
  <si>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</si>
  <si>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</si>
  <si>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</si>
  <si>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</si>
  <si>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</si>
  <si>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</si>
  <si>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</si>
  <si>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</si>
  <si>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</si>
  <si>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</si>
  <si>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</si>
  <si>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</si>
  <si>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</si>
  <si>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</si>
  <si>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</si>
  <si>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</si>
  <si>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</si>
  <si>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</si>
  <si>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</si>
  <si>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</si>
  <si>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</si>
  <si>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</si>
  <si>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</si>
  <si>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</si>
  <si>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</si>
  <si>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</si>
  <si>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</si>
  <si>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</si>
  <si>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</si>
  <si>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</si>
  <si>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</si>
  <si>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</si>
  <si>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</si>
  <si>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</si>
  <si>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</si>
  <si>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</si>
  <si>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</si>
  <si>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</si>
  <si>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</si>
  <si>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</si>
  <si>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</si>
  <si>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</si>
  <si>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</si>
  <si>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</si>
  <si>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</si>
  <si>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</si>
  <si>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</si>
  <si>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</si>
  <si>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</si>
  <si>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</si>
  <si>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</si>
  <si>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</si>
  <si>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</si>
  <si>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</si>
  <si>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</si>
  <si>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</si>
  <si>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</si>
  <si>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</si>
  <si>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</si>
  <si>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</si>
  <si>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</si>
  <si>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</si>
  <si>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</si>
  <si>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</si>
  <si>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</si>
  <si>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</si>
  <si>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</si>
  <si>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</si>
  <si>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</si>
  <si>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</si>
  <si>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</si>
  <si>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</si>
  <si>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</si>
  <si>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</si>
  <si>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</si>
  <si>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</si>
  <si>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</si>
  <si>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</si>
  <si>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</si>
  <si>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</si>
  <si>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</si>
  <si>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</si>
  <si>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</si>
  <si>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</si>
  <si>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</si>
  <si>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</si>
  <si>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</si>
  <si>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</si>
  <si>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</si>
  <si>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</si>
  <si>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</si>
  <si>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</si>
  <si>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</si>
  <si>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</si>
  <si>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</si>
  <si>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</si>
  <si>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</si>
  <si>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</si>
  <si>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</si>
  <si>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</si>
  <si>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</si>
  <si>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</si>
  <si>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</si>
  <si>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</si>
  <si>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</si>
  <si>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</si>
  <si>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</si>
  <si>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</si>
  <si>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</si>
  <si>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</si>
  <si>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</si>
  <si>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</si>
  <si>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</si>
  <si>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</si>
  <si>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</si>
  <si>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</si>
  <si>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</si>
  <si>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</si>
  <si>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</si>
  <si>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</si>
  <si>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</si>
  <si>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</si>
  <si>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</si>
  <si>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</si>
  <si>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</si>
  <si>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</si>
  <si>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</si>
  <si>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</si>
  <si>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</si>
  <si>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</si>
  <si>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</si>
  <si>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</si>
  <si>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</si>
  <si>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</si>
  <si>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</si>
  <si>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</si>
  <si>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</si>
  <si>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</si>
  <si>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</si>
  <si>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</si>
  <si>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</si>
  <si>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</si>
  <si>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</si>
  <si>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</si>
  <si>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</si>
  <si>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</si>
  <si>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</si>
  <si>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</si>
  <si>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</si>
  <si>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</si>
  <si>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</si>
  <si>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</si>
  <si>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</si>
  <si>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</si>
  <si>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</si>
  <si>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</si>
  <si>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</si>
  <si>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</si>
  <si>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</si>
  <si>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</si>
  <si>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</si>
  <si>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</si>
  <si>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</si>
  <si>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</si>
  <si>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</si>
  <si>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</si>
  <si>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</si>
  <si>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</si>
  <si>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</si>
  <si>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</si>
  <si>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</si>
  <si>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</si>
  <si>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</si>
  <si>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</si>
  <si>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</si>
  <si>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</si>
  <si>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</si>
  <si>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</si>
  <si>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</si>
  <si>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</si>
  <si>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</si>
  <si>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</si>
  <si>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</si>
  <si>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</si>
  <si>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</si>
  <si>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</si>
  <si>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</si>
  <si>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</si>
  <si>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</si>
  <si>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</si>
  <si>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</si>
  <si>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</si>
  <si>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</si>
  <si>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</si>
  <si>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</si>
  <si>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</si>
  <si>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</si>
  <si>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</si>
  <si>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</si>
  <si>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</si>
  <si>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</si>
  <si>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</si>
  <si>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</si>
  <si>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</si>
  <si>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</si>
  <si>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</si>
  <si>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</si>
  <si>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</si>
  <si>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</si>
  <si>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</si>
  <si>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</si>
  <si>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</si>
  <si>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</si>
  <si>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</si>
  <si>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</si>
  <si>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</si>
  <si>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</si>
  <si>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</si>
  <si>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</si>
  <si>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</si>
  <si>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</si>
  <si>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</si>
  <si>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</si>
  <si>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</si>
  <si>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</si>
  <si>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</si>
  <si>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</si>
  <si>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</si>
  <si>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</si>
  <si>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</si>
  <si>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</si>
  <si>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</si>
  <si>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</si>
  <si>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</si>
  <si>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</si>
  <si>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</si>
  <si>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</si>
  <si>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</si>
  <si>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</si>
  <si>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</si>
  <si>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</si>
  <si>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</si>
  <si>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</si>
  <si>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</si>
  <si>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</si>
  <si>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</si>
  <si>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</si>
  <si>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</si>
  <si>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</si>
  <si>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</si>
  <si>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</si>
  <si>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</si>
  <si>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</si>
  <si>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</si>
  <si>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</si>
  <si>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</si>
  <si>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</si>
  <si>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</si>
  <si>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</si>
  <si>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</si>
  <si>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</si>
  <si>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</si>
  <si>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</si>
  <si>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</si>
  <si>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</si>
  <si>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</si>
  <si>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</si>
  <si>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</si>
  <si>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</si>
  <si>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</si>
  <si>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</si>
  <si>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</si>
  <si>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</si>
  <si>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</si>
  <si>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</si>
  <si>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</si>
  <si>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</si>
  <si>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</si>
  <si>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</si>
  <si>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</si>
  <si>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</si>
  <si>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</si>
  <si>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</si>
  <si>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</si>
  <si>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</si>
  <si>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</si>
  <si>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</si>
  <si>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</si>
  <si>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</si>
  <si>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</si>
  <si>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</si>
  <si>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</si>
  <si>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</si>
  <si>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</si>
  <si>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</si>
  <si>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</si>
  <si>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</si>
  <si>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</si>
  <si>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</si>
  <si>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</si>
  <si>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</si>
  <si>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</si>
  <si>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</si>
  <si>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</si>
  <si>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</si>
  <si>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PPR-PGO</t>
  </si>
  <si>
    <t>PPRPGO</t>
  </si>
  <si>
    <t>MC1 08:30, autorizado 09:18m, em deslocamento para PGO</t>
  </si>
  <si>
    <t>TBS1/TBS671</t>
  </si>
  <si>
    <t>Recolha de dormentes</t>
  </si>
  <si>
    <t xml:space="preserve">TVI </t>
  </si>
  <si>
    <t>TIN1/K97TIN</t>
  </si>
  <si>
    <t>PSGPSO</t>
  </si>
  <si>
    <t xml:space="preserve">Esmerilhadora </t>
  </si>
  <si>
    <t>PAM-PQI</t>
  </si>
  <si>
    <t>PAMPQI</t>
  </si>
  <si>
    <t>Inspeção RIV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</si>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</sst>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zoomScaleNormal="100" workbookViewId="0">
      <pane xSplit="6" topLeftCell="AX1" activePane="topRight" state="frozen"/>
      <selection pane="topRight" activeCell="BC173" sqref="BC17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 hidden="1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 hidden="1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 hidden="1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 hidden="1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 hidden="1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 hidden="1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 hidden="1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 hidden="1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 hidden="1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 hidden="1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>OKOK</v>
      </c>
    </row>
    <row r="168" spans="1:72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7" t="s">
        <v>1612</v>
      </c>
      <c r="BK170" s="247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0.35</v>
      </c>
      <c r="BT170" s="238" t="str">
        <f t="shared" ref="BT170:BT234" si="22">IF(BN170="","",SUBSTITUTE(BM170," ","")&amp;SUBSTITUTE(BN170," ",""))</f>
        <v>CCOCirculaçãoIntervaloContrato</v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 t="str">
        <f>IF(BS_CONTROLE[[#This Row],[SB]]=0, "-", BS_CONTROLE[[#This Row],[SB]])</f>
        <v>TVI239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237.6</v>
      </c>
      <c r="AQ172" s="173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80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7" t="s">
        <v>1615</v>
      </c>
      <c r="BK172" s="247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8" t="str">
        <f t="shared" si="22"/>
        <v>OKOK</v>
      </c>
    </row>
    <row r="173" spans="1:72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80">
        <f t="shared" si="27"/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7" t="s">
        <v>1617</v>
      </c>
      <c r="BK173" s="247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0.75875000000000004</v>
      </c>
      <c r="BT173" s="238" t="str">
        <f t="shared" si="22"/>
        <v>MecanizaçãoOperação</v>
      </c>
    </row>
    <row r="174" spans="1:72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1620</v>
      </c>
      <c r="BK174" s="247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23.25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1622</v>
      </c>
      <c r="BK175" s="246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1623</v>
      </c>
      <c r="BK176" s="247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ZIQZQY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1631</v>
      </c>
      <c r="BK179" s="247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1635</v>
      </c>
      <c r="BK180" s="247" t="s">
        <v>1635</v>
      </c>
      <c r="BL180" s="13"/>
      <c r="BM180" s="12"/>
      <c r="BN180" s="12"/>
      <c r="BO180" s="130"/>
      <c r="BP180" s="14"/>
      <c r="BQ180" s="10" t="str">
        <f t="shared" si="24"/>
        <v>Produção e Intervalo</v>
      </c>
      <c r="BR180" s="15">
        <f t="shared" si="25"/>
        <v>0</v>
      </c>
      <c r="BS180" s="15">
        <f t="shared" si="26"/>
        <v>0</v>
      </c>
      <c r="BT180" s="238" t="str">
        <f t="shared" si="22"/>
        <v/>
      </c>
    </row>
    <row r="181" spans="1:72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81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95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71" t="str">
        <f>IF(BS_CONTROLE[[#This Row],[Local - Partida]]=0, "-", BS_CONTROLE[[#This Row],[Local - Partida]])</f>
        <v>PPR1</v>
      </c>
      <c r="AL181" s="171" t="str">
        <f>IF(BS_CONTROLE[[#This Row],[Local - Encerramento]]=0, "-", BS_CONTROLE[[#This Row],[Local - Encerramento]])</f>
        <v>PGO2</v>
      </c>
      <c r="AM181" s="171" t="str">
        <f>IF(BS_CONTROLE[[#This Row],[Entre - Estações]]=0, "-", BS_CONTROLE[[#This Row],[Entre - Estações]])</f>
        <v>PPR-PGO</v>
      </c>
      <c r="AN181" s="171" t="str">
        <f>IF(BS_CONTROLE[[#This Row],[SB]]=0, "-", BS_CONTROLE[[#This Row],[SB]])</f>
        <v>PPRPGO</v>
      </c>
      <c r="AO181" s="172">
        <f>IF(BS_CONTROLE[[#This Row],[SUB]]=0, "-", BS_CONTROLE[[#This Row],[SUB]])</f>
        <v>103</v>
      </c>
      <c r="AP181" s="173">
        <f>IF(BS_CONTROLE[[#This Row],[KM - Inicio]]=0, "-", BS_CONTROLE[[#This Row],[KM - Inicio]])</f>
        <v>1984</v>
      </c>
      <c r="AQ181" s="173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80">
        <f>IF(D181="","*",IFERROR(IF(ISODD(COUNT(AS181:AX183)),"ERRO",SUM((AT181-AS181),(AV181-AU181),(AX181-AW181))),"ERRO"))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96" t="str">
        <f>IFERROR(_xlfn.XLOOKUP(AO181, BASE_MAPA!$B$2:$B$420, BASE_MAPA!$G$2:$G$420), "ERRO")</f>
        <v>OURO VERDE - LIGAÇÃO</v>
      </c>
      <c r="BF181" s="174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8" t="str">
        <f t="shared" si="22"/>
        <v>OKOK</v>
      </c>
    </row>
    <row r="182" spans="1:72" hidden="1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1639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TBS1/TBS671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 hidden="1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661.84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TBS-TAL</v>
      </c>
      <c r="AN183" s="171" t="str">
        <f>IF(BS_CONTROLE[[#This Row],[SB]]=0, "-", BS_CONTROLE[[#This Row],[SB]])</f>
        <v>TBSPAT1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661.84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 hidden="1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444.66</v>
      </c>
      <c r="L184" s="71">
        <v>444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10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444.66</v>
      </c>
      <c r="AQ184" s="173">
        <f>IF(BS_CONTROLE[[#This Row],[KM - Fim]]=0, "-", BS_CONTROLE[[#This Row],[KM - Fim]])</f>
        <v>444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 hidden="1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6.25E-2</v>
      </c>
      <c r="Q185" s="71">
        <v>1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1005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 hidden="1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 hidden="1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140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237.6</v>
      </c>
      <c r="L188" s="71">
        <v>234.6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8" s="134">
        <v>0.35416666666666669</v>
      </c>
      <c r="P188" s="134">
        <v>6.25E-2</v>
      </c>
      <c r="Q188" s="71">
        <v>5</v>
      </c>
      <c r="R188" s="9" t="str">
        <f>IFERROR(_xlfn.XLOOKUP(F188, BS_ATIVIDADE[ATIVIDADE],BS_ATIVIDADE[UNIDADE] ), "*")</f>
        <v>VAGÕES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1640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PEDRA - DESCARGA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 t="str">
        <f>IF(BS_CONTROLE[[#This Row],[SB]]=0, "-", BS_CONTROLE[[#This Row],[SB]])</f>
        <v>TVI239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237.6</v>
      </c>
      <c r="AQ188" s="173">
        <f>IF(BS_CONTROLE[[#This Row],[KM - Fim]]=0, "-", BS_CONTROLE[[#This Row],[KM - Fim]])</f>
        <v>234.6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VAGÕES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 hidden="1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419</v>
      </c>
      <c r="I189" s="134" t="s">
        <v>1641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8.3333333333333329E-2</v>
      </c>
      <c r="Q189" s="71">
        <v>1000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TIN2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 hidden="1">
      <c r="A190" s="44" t="str">
        <f t="shared" si="23"/>
        <v>W4846071</v>
      </c>
      <c r="B190" s="132">
        <v>46071</v>
      </c>
      <c r="C190" s="7">
        <f>IF(BS_CONTROLE[[#This Row],[DATA]]="","",WEEKNUM(BS_CONTROLE[[#This Row],[DATA]]))</f>
        <v>8</v>
      </c>
      <c r="D190" s="45" t="s">
        <v>239</v>
      </c>
      <c r="E190" s="181">
        <v>213</v>
      </c>
      <c r="F190" s="133" t="s">
        <v>100</v>
      </c>
      <c r="G190" s="8" t="str">
        <f>IF(D190="","*",VLOOKUP(F190,BS_ATIVIDADE[#All],3,FALSE))</f>
        <v>MECANIZAÇÃO - DOL</v>
      </c>
      <c r="H190" s="134" t="s">
        <v>419</v>
      </c>
      <c r="I190" s="134" t="s">
        <v>419</v>
      </c>
      <c r="J190" s="150">
        <v>74</v>
      </c>
      <c r="K190" s="150">
        <v>108.19499999999999</v>
      </c>
      <c r="L190" s="71">
        <v>106.19499999999999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0" s="148" t="s">
        <v>1642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1546</v>
      </c>
      <c r="W190" s="134" t="s">
        <v>1515</v>
      </c>
      <c r="X190" s="151" t="s">
        <v>1005</v>
      </c>
      <c r="Y190" s="129"/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6202</v>
      </c>
      <c r="AF190" s="71">
        <v>6201</v>
      </c>
      <c r="AG190" s="71" t="s">
        <v>11</v>
      </c>
      <c r="AH190" s="42"/>
      <c r="AI190" s="119" t="str">
        <f>IF(BS_CONTROLE[[#This Row],[Atividade]]=0, "-", BS_CONTROLE[[#This Row],[Atividade]])</f>
        <v>MECANIZAÇÃO - DOL</v>
      </c>
      <c r="AJ190" s="8" t="str">
        <f>IF(D190="","*",VLOOKUP(AI190,BS_ATIVIDADE[#Data],3,FALSE))</f>
        <v>MECANIZAÇÃO - DOL</v>
      </c>
      <c r="AK190" s="171" t="str">
        <f>IF(BS_CONTROLE[[#This Row],[Local - Partida]]=0, "-", BS_CONTROLE[[#This Row],[Local - Partida]])</f>
        <v>TIN2</v>
      </c>
      <c r="AL190" s="171" t="str">
        <f>IF(BS_CONTROLE[[#This Row],[Local - Encerramento]]=0, "-", BS_CONTROLE[[#This Row],[Local - Encerramento]])</f>
        <v>TIN2</v>
      </c>
      <c r="AM190" s="171" t="str">
        <f>IF(BS_CONTROLE[[#This Row],[Entre - Estações]]=0, "-", BS_CONTROLE[[#This Row],[Entre - Estações]])</f>
        <v>TIN</v>
      </c>
      <c r="AN190" s="171" t="str">
        <f>IF(BS_CONTROLE[[#This Row],[SB]]=0, "-", BS_CONTROLE[[#This Row],[SB]])</f>
        <v>TIN1/K97TIN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108.19499999999999</v>
      </c>
      <c r="AQ190" s="173">
        <f>IF(BS_CONTROLE[[#This Row],[KM - Fim]]=0, "-", BS_CONTROLE[[#This Row],[KM - Fim]])</f>
        <v>106.19499999999999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M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Maik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 hidden="1">
      <c r="A191" s="44" t="str">
        <f t="shared" si="23"/>
        <v>MARCOS (TF-520)46071</v>
      </c>
      <c r="B191" s="132">
        <v>46071</v>
      </c>
      <c r="C191" s="7">
        <f>IF(BS_CONTROLE[[#This Row],[DATA]]="","",WEEKNUM(BS_CONTROLE[[#This Row],[DATA]]))</f>
        <v>8</v>
      </c>
      <c r="D191" s="45" t="s">
        <v>334</v>
      </c>
      <c r="E191" s="181">
        <v>213</v>
      </c>
      <c r="F191" s="133" t="s">
        <v>193</v>
      </c>
      <c r="G191" s="8" t="str">
        <f>IF(D191="","*",VLOOKUP(F191,BS_ATIVIDADE[#All],3,FALSE))</f>
        <v>SOLDA</v>
      </c>
      <c r="H191" s="134" t="s">
        <v>400</v>
      </c>
      <c r="I191" s="134" t="s">
        <v>11</v>
      </c>
      <c r="J191" s="150">
        <v>74</v>
      </c>
      <c r="K191" s="150">
        <v>97.62</v>
      </c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1" s="134">
        <v>0.375</v>
      </c>
      <c r="P191" s="134">
        <v>6.25E-2</v>
      </c>
      <c r="Q191" s="71">
        <v>1</v>
      </c>
      <c r="R191" s="9" t="str">
        <f>IFERROR(_xlfn.XLOOKUP(F191, BS_ATIVIDADE[ATIVIDADE],BS_ATIVIDADE[UNIDADE] ), "*")</f>
        <v>Nº DE SOLDA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95" t="str">
        <f>IFERROR(_xlfn.XLOOKUP(J191, BASE_MAPA!$B$2:$B$420, BASE_MAPA!$G$2:$G$420), "ERRO")</f>
        <v>MARCO INICIAL - ALTO ARAGUAIA</v>
      </c>
      <c r="V191" s="142" t="s">
        <v>1328</v>
      </c>
      <c r="W191" s="134" t="s">
        <v>1318</v>
      </c>
      <c r="X191" s="151" t="s">
        <v>1005</v>
      </c>
      <c r="Y191" s="129"/>
      <c r="Z191" s="129"/>
      <c r="AA191" s="71" t="s">
        <v>11</v>
      </c>
      <c r="AB191" s="59" t="s">
        <v>11</v>
      </c>
      <c r="AC191" s="59"/>
      <c r="AD191" s="134" t="s">
        <v>11</v>
      </c>
      <c r="AE191" s="71" t="s">
        <v>11</v>
      </c>
      <c r="AF191" s="71" t="s">
        <v>11</v>
      </c>
      <c r="AG191" s="71" t="s">
        <v>11</v>
      </c>
      <c r="AH191" s="42"/>
      <c r="AI191" s="119" t="str">
        <f>IF(BS_CONTROLE[[#This Row],[Atividade]]=0, "-", BS_CONTROLE[[#This Row],[Atividade]])</f>
        <v>PDM - SOLDA</v>
      </c>
      <c r="AJ191" s="8" t="str">
        <f>IF(D191="","*",VLOOKUP(AI191,BS_ATIVIDADE[#Data],3,FALSE))</f>
        <v>SOLDA</v>
      </c>
      <c r="AK191" s="171" t="str">
        <f>IF(BS_CONTROLE[[#This Row],[Local - Partida]]=0, "-", BS_CONTROLE[[#This Row],[Local - Partida]])</f>
        <v>K52TQI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TSP-TIN</v>
      </c>
      <c r="AN191" s="171" t="str">
        <f>IF(BS_CONTROLE[[#This Row],[SB]]=0, "-", BS_CONTROLE[[#This Row],[SB]])</f>
        <v>K97TIN</v>
      </c>
      <c r="AO191" s="172">
        <f>IF(BS_CONTROLE[[#This Row],[SUB]]=0, "-", BS_CONTROLE[[#This Row],[SUB]])</f>
        <v>74</v>
      </c>
      <c r="AP191" s="173">
        <f>IF(BS_CONTROLE[[#This Row],[KM - Inicio]]=0, "-", BS_CONTROLE[[#This Row],[KM - Inicio]])</f>
        <v>97.62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Nº DE SOLDA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96" t="str">
        <f>IFERROR(_xlfn.XLOOKUP(AO191, BASE_MAPA!$B$2:$B$420, BASE_MAPA!$G$2:$G$420), "ERRO")</f>
        <v>MARCO INICIAL - ALTO ARAGUAIA</v>
      </c>
      <c r="BF191" s="174" t="str">
        <f>IF(BS_CONTROLE[[#This Row],[Responsavel pelo boletim]]=0, "-", BS_CONTROLE[[#This Row],[Responsavel pelo boletim]])</f>
        <v>Marcos Euzebio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8" t="str">
        <f t="shared" si="22"/>
        <v/>
      </c>
    </row>
    <row r="192" spans="1:72" hidden="1">
      <c r="A192" s="44" t="str">
        <f t="shared" si="23"/>
        <v>E1846071</v>
      </c>
      <c r="B192" s="132">
        <v>46071</v>
      </c>
      <c r="C192" s="7">
        <f>IF(BS_CONTROLE[[#This Row],[DATA]]="","",WEEKNUM(BS_CONTROLE[[#This Row],[DATA]]))</f>
        <v>8</v>
      </c>
      <c r="D192" s="45" t="s">
        <v>1628</v>
      </c>
      <c r="E192" s="181">
        <v>215</v>
      </c>
      <c r="F192" s="133" t="s">
        <v>13</v>
      </c>
      <c r="G192" s="8" t="str">
        <f>IF(D192="","*",VLOOKUP(F192,BS_ATIVIDADE[#All],3,FALSE))</f>
        <v>CAMINHÂO - SOLDA</v>
      </c>
      <c r="H192" s="148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2" s="148" t="str" cm="1">
        <f t="array" ref="I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2" s="150">
        <v>78</v>
      </c>
      <c r="K192" s="150">
        <v>176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2" s="134">
        <v>0.35416666666666669</v>
      </c>
      <c r="P192" s="134">
        <v>0.125</v>
      </c>
      <c r="Q192" s="71">
        <v>3</v>
      </c>
      <c r="R192" s="9" t="str">
        <f>IFERROR(_xlfn.XLOOKUP(F192, BS_ATIVIDADE[ATIVIDADE],BS_ATIVIDADE[UNIDADE] ), "*")</f>
        <v>Nº DE SOLDA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2" s="195" t="str">
        <f>IFERROR(_xlfn.XLOOKUP(J192, BASE_MAPA!$B$2:$B$420, BASE_MAPA!$G$2:$G$420), "ERRO")</f>
        <v>ITIRAPINA - BAURU</v>
      </c>
      <c r="V192" s="142" t="s">
        <v>1629</v>
      </c>
      <c r="W192" s="134" t="s">
        <v>1630</v>
      </c>
      <c r="X192" s="151" t="s">
        <v>1005</v>
      </c>
      <c r="Y192" s="129"/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6252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CAMINHÃO DE SOLDA</v>
      </c>
      <c r="AJ192" s="8" t="str">
        <f>IF(D192="","*",VLOOKUP(AI192,BS_ATIVIDADE[#Data],3,FALSE))</f>
        <v>CAMINHÂO - SOLDA</v>
      </c>
      <c r="AK192" s="171" t="str">
        <f>IF(BS_CONTROLE[[#This Row],[Local - Partida]]=0, "-", BS_CONTROLE[[#This Row],[Local - Partida]])</f>
        <v>ZIQZQY</v>
      </c>
      <c r="AL192" s="171" t="str">
        <f>IF(BS_CONTROLE[[#This Row],[Local - Encerramento]]=0, "-", BS_CONTROLE[[#This Row],[Local - Encerramento]])</f>
        <v>ZIQZQY</v>
      </c>
      <c r="AM192" s="171" t="str">
        <f>IF(BS_CONTROLE[[#This Row],[Entre - Estações]]=0, "-", BS_CONTROLE[[#This Row],[Entre - Estações]])</f>
        <v>ZIQ-ZQY</v>
      </c>
      <c r="AN192" s="171" t="str">
        <f>IF(BS_CONTROLE[[#This Row],[SB]]=0, "-", BS_CONTROLE[[#This Row],[SB]])</f>
        <v>ZIQZQY</v>
      </c>
      <c r="AO192" s="172">
        <f>IF(BS_CONTROLE[[#This Row],[SUB]]=0, "-", BS_CONTROLE[[#This Row],[SUB]])</f>
        <v>78</v>
      </c>
      <c r="AP192" s="173">
        <f>IF(BS_CONTROLE[[#This Row],[KM - Inicio]]=0, "-", BS_CONTROLE[[#This Row],[KM - Inicio]])</f>
        <v>176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2" s="196" t="str">
        <f>IFERROR(_xlfn.XLOOKUP(AO192, BASE_MAPA!$B$2:$B$420, BASE_MAPA!$G$2:$G$420), "ERRO")</f>
        <v>ITIRAPINA - BAURU</v>
      </c>
      <c r="BF192" s="174" t="str">
        <f>IF(BS_CONTROLE[[#This Row],[Responsavel pelo boletim]]=0, "-", BS_CONTROLE[[#This Row],[Responsavel pelo boletim]])</f>
        <v>Higor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 hidden="1">
      <c r="A194" s="44" t="str">
        <f t="shared" si="23"/>
        <v>E1446071</v>
      </c>
      <c r="B194" s="132">
        <v>46071</v>
      </c>
      <c r="C194" s="7">
        <f>IF(BS_CONTROLE[[#This Row],[DATA]]="","",WEEKNUM(BS_CONTROLE[[#This Row],[DATA]]))</f>
        <v>8</v>
      </c>
      <c r="D194" s="45" t="s">
        <v>149</v>
      </c>
      <c r="E194" s="181">
        <v>217</v>
      </c>
      <c r="F194" s="133" t="s">
        <v>107</v>
      </c>
      <c r="G194" s="8" t="str">
        <f>IF(D194="","*",VLOOKUP(F194,BS_ATIVIDADE[#All],3,FALSE))</f>
        <v>MECANIZAÇÃO - ESMERILHADORA</v>
      </c>
      <c r="H194" s="134" t="s">
        <v>927</v>
      </c>
      <c r="I194" s="134" t="s">
        <v>927</v>
      </c>
      <c r="J194" s="150">
        <v>103</v>
      </c>
      <c r="K194" s="150">
        <v>1806</v>
      </c>
      <c r="L194" s="71">
        <v>1836</v>
      </c>
      <c r="M194" s="148" t="s">
        <v>928</v>
      </c>
      <c r="N194" s="148" t="s">
        <v>1643</v>
      </c>
      <c r="O194" s="134">
        <v>0.99930555555555556</v>
      </c>
      <c r="P194" s="134">
        <v>4.1666666666666664E-2</v>
      </c>
      <c r="Q194" s="71">
        <v>30000</v>
      </c>
      <c r="R194" s="9" t="str">
        <f>IFERROR(_xlfn.XLOOKUP(F194, BS_ATIVIDADE[ATIVIDADE],BS_ATIVIDADE[UNIDADE] ), "*")</f>
        <v>M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4" s="195" t="str">
        <f>IFERROR(_xlfn.XLOOKUP(J194, BASE_MAPA!$B$2:$B$420, BASE_MAPA!$G$2:$G$420), "ERRO")</f>
        <v>OURO VERDE - LIGAÇÃO</v>
      </c>
      <c r="V194" s="142" t="s">
        <v>1445</v>
      </c>
      <c r="W194" s="134" t="s">
        <v>1644</v>
      </c>
      <c r="X194" s="151" t="s">
        <v>1005</v>
      </c>
      <c r="Y194" s="129"/>
      <c r="Z194" s="129"/>
      <c r="AA194" s="71">
        <v>1</v>
      </c>
      <c r="AB194" s="59" t="s">
        <v>997</v>
      </c>
      <c r="AC194" s="59"/>
      <c r="AD194" s="134">
        <v>0.95833333333333337</v>
      </c>
      <c r="AE194" s="71">
        <v>6245</v>
      </c>
      <c r="AF194" s="71">
        <v>6246</v>
      </c>
      <c r="AG194" s="71" t="s">
        <v>11</v>
      </c>
      <c r="AH194" s="42"/>
      <c r="AI194" s="119" t="str">
        <f>IF(BS_CONTROLE[[#This Row],[Atividade]]=0, "-", BS_CONTROLE[[#This Row],[Atividade]])</f>
        <v>MECANIZAÇÃO - ESMERILHADORA</v>
      </c>
      <c r="AJ194" s="8" t="str">
        <f>IF(D194="","*",VLOOKUP(AI194,BS_ATIVIDADE[#Data],3,FALSE))</f>
        <v>MECANIZAÇÃO - ESMERILHADORA</v>
      </c>
      <c r="AK194" s="171" t="str">
        <f>IF(BS_CONTROLE[[#This Row],[Local - Partida]]=0, "-", BS_CONTROLE[[#This Row],[Local - Partida]])</f>
        <v>PSG2</v>
      </c>
      <c r="AL194" s="171" t="str">
        <f>IF(BS_CONTROLE[[#This Row],[Local - Encerramento]]=0, "-", BS_CONTROLE[[#This Row],[Local - Encerramento]])</f>
        <v>PSG2</v>
      </c>
      <c r="AM194" s="171" t="str">
        <f>IF(BS_CONTROLE[[#This Row],[Entre - Estações]]=0, "-", BS_CONTROLE[[#This Row],[Entre - Estações]])</f>
        <v>PSG-PSO</v>
      </c>
      <c r="AN194" s="171" t="str">
        <f>IF(BS_CONTROLE[[#This Row],[SB]]=0, "-", BS_CONTROLE[[#This Row],[SB]])</f>
        <v>PSGPSO</v>
      </c>
      <c r="AO194" s="172">
        <f>IF(BS_CONTROLE[[#This Row],[SUB]]=0, "-", BS_CONTROLE[[#This Row],[SUB]])</f>
        <v>103</v>
      </c>
      <c r="AP194" s="173">
        <f>IF(BS_CONTROLE[[#This Row],[KM - Inicio]]=0, "-", BS_CONTROLE[[#This Row],[KM - Inicio]])</f>
        <v>1806</v>
      </c>
      <c r="AQ194" s="173">
        <f>IF(BS_CONTROLE[[#This Row],[KM - Fim]]=0, "-", BS_CONTROLE[[#This Row],[KM - Fim]])</f>
        <v>1836</v>
      </c>
      <c r="AR194" s="32"/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M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4" s="196" t="str">
        <f>IFERROR(_xlfn.XLOOKUP(AO194, BASE_MAPA!$B$2:$B$420, BASE_MAPA!$G$2:$G$420), "ERRO")</f>
        <v>OURO VERDE - LIGAÇÃO</v>
      </c>
      <c r="BF194" s="174" t="str">
        <f>IF(BS_CONTROLE[[#This Row],[Responsavel pelo boletim]]=0, "-", BS_CONTROLE[[#This Row],[Responsavel pelo boletim]])</f>
        <v>Fernanda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 hidden="1">
      <c r="A195" s="44" t="str">
        <f t="shared" si="23"/>
        <v>V8046071</v>
      </c>
      <c r="B195" s="132">
        <v>46071</v>
      </c>
      <c r="C195" s="7">
        <f>IF(BS_CONTROLE[[#This Row],[DATA]]="","",WEEKNUM(BS_CONTROLE[[#This Row],[DATA]]))</f>
        <v>8</v>
      </c>
      <c r="D195" s="45" t="s">
        <v>209</v>
      </c>
      <c r="E195" s="181">
        <v>218</v>
      </c>
      <c r="F195" s="133" t="s">
        <v>213</v>
      </c>
      <c r="G195" s="8" t="str">
        <f>IF(D195="","*",VLOOKUP(F195,BS_ATIVIDADE[#All],3,FALSE))</f>
        <v>OUTROS</v>
      </c>
      <c r="H195" s="134" t="s">
        <v>937</v>
      </c>
      <c r="I195" s="134" t="s">
        <v>947</v>
      </c>
      <c r="J195" s="150">
        <v>103</v>
      </c>
      <c r="K195" s="150">
        <v>1935</v>
      </c>
      <c r="L195" s="71">
        <v>2029</v>
      </c>
      <c r="M195" s="148" t="s">
        <v>1645</v>
      </c>
      <c r="N195" s="148" t="s">
        <v>1646</v>
      </c>
      <c r="O195" s="134">
        <v>0.41666666666666669</v>
      </c>
      <c r="P195" s="134">
        <v>4.1666666666666664E-2</v>
      </c>
      <c r="Q195" s="71">
        <v>1</v>
      </c>
      <c r="R195" s="9" t="str">
        <f>IFERROR(_xlfn.XLOOKUP(F195, BS_ATIVIDADE[ATIVIDADE],BS_ATIVIDADE[UNIDADE] ), "*")</f>
        <v>BINÁRIO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5" s="195" t="str">
        <f>IFERROR(_xlfn.XLOOKUP(J195, BASE_MAPA!$B$2:$B$420, BASE_MAPA!$G$2:$G$420), "ERRO")</f>
        <v>OURO VERDE - LIGAÇÃO</v>
      </c>
      <c r="V195" s="142" t="s">
        <v>1445</v>
      </c>
      <c r="W195" s="134" t="s">
        <v>1647</v>
      </c>
      <c r="X195" s="151" t="s">
        <v>1005</v>
      </c>
      <c r="Y195" s="129"/>
      <c r="Z195" s="129"/>
      <c r="AA195" s="71">
        <v>1</v>
      </c>
      <c r="AB195" s="59" t="s">
        <v>997</v>
      </c>
      <c r="AC195" s="59"/>
      <c r="AD195" s="134">
        <v>0.29166666666666669</v>
      </c>
      <c r="AE195" s="71">
        <v>7684</v>
      </c>
      <c r="AF195" s="71" t="s">
        <v>11</v>
      </c>
      <c r="AG195" s="71" t="s">
        <v>11</v>
      </c>
      <c r="AH195" s="42"/>
      <c r="AI195" s="119" t="str">
        <f>IF(BS_CONTROLE[[#This Row],[Atividade]]=0, "-", BS_CONTROLE[[#This Row],[Atividade]])</f>
        <v>INSPEÇÃO RIV</v>
      </c>
      <c r="AJ195" s="8" t="str">
        <f>IF(D195="","*",VLOOKUP(AI195,BS_ATIVIDADE[#Data],3,FALSE))</f>
        <v>OUTROS</v>
      </c>
      <c r="AK195" s="171" t="str">
        <f>IF(BS_CONTROLE[[#This Row],[Local - Partida]]=0, "-", BS_CONTROLE[[#This Row],[Local - Partida]])</f>
        <v>PAM</v>
      </c>
      <c r="AL195" s="171" t="str">
        <f>IF(BS_CONTROLE[[#This Row],[Local - Encerramento]]=0, "-", BS_CONTROLE[[#This Row],[Local - Encerramento]])</f>
        <v>PQI</v>
      </c>
      <c r="AM195" s="171" t="str">
        <f>IF(BS_CONTROLE[[#This Row],[Entre - Estações]]=0, "-", BS_CONTROLE[[#This Row],[Entre - Estações]])</f>
        <v>PAM-PQI</v>
      </c>
      <c r="AN195" s="171" t="str">
        <f>IF(BS_CONTROLE[[#This Row],[SB]]=0, "-", BS_CONTROLE[[#This Row],[SB]])</f>
        <v>PAMPQI</v>
      </c>
      <c r="AO195" s="172">
        <f>IF(BS_CONTROLE[[#This Row],[SUB]]=0, "-", BS_CONTROLE[[#This Row],[SUB]])</f>
        <v>103</v>
      </c>
      <c r="AP195" s="173">
        <f>IF(BS_CONTROLE[[#This Row],[KM - Inicio]]=0, "-", BS_CONTROLE[[#This Row],[KM - Inicio]])</f>
        <v>1935</v>
      </c>
      <c r="AQ195" s="173">
        <f>IF(BS_CONTROLE[[#This Row],[KM - Fim]]=0, "-", BS_CONTROLE[[#This Row],[KM - Fim]])</f>
        <v>2029</v>
      </c>
      <c r="AR195" s="32"/>
      <c r="AS195" s="32"/>
      <c r="AT195" s="32"/>
      <c r="AU195" s="32"/>
      <c r="AV195" s="32"/>
      <c r="AW195" s="32"/>
      <c r="AX195" s="32"/>
      <c r="AY195" s="180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BINÁRIO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5" s="196" t="str">
        <f>IFERROR(_xlfn.XLOOKUP(AO195, BASE_MAPA!$B$2:$B$420, BASE_MAPA!$G$2:$G$420), "ERRO")</f>
        <v>OURO VERDE - LIGAÇÃO</v>
      </c>
      <c r="BF195" s="174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8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9">IF(AND(BR235&lt;1,BS235&lt;1),"Produção e Intervalo",IF(BR235&lt;1,"Intervalo",IF(BS235&lt;1,"Produção","Aderente")))</f>
        <v>Aderente</v>
      </c>
      <c r="BR235" s="15" t="str">
        <f t="shared" ref="BR235:BR298" si="30">IF(OR(B235="",F235=""),"*",AY235/P235)</f>
        <v>*</v>
      </c>
      <c r="BS235" s="15" t="str">
        <f t="shared" ref="BS235:BS298" si="31">IF(OR(B235="",F235=""),"*",BA235/Q235)</f>
        <v>*</v>
      </c>
      <c r="BT235" s="238" t="str">
        <f t="shared" ref="BT235:BT298" si="32">IF(BN235="","",SUBSTITUTE(BM235," ","")&amp;SUBSTITUTE(BN235," ",""))</f>
        <v/>
      </c>
    </row>
    <row r="236" spans="1:72" hidden="1">
      <c r="A236" s="44" t="str">
        <f t="shared" si="28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9"/>
        <v>Aderente</v>
      </c>
      <c r="BR236" s="15" t="str">
        <f t="shared" si="30"/>
        <v>*</v>
      </c>
      <c r="BS236" s="15" t="str">
        <f t="shared" si="31"/>
        <v>*</v>
      </c>
      <c r="BT236" s="238" t="str">
        <f t="shared" si="32"/>
        <v/>
      </c>
    </row>
    <row r="237" spans="1:72" hidden="1">
      <c r="A237" s="44" t="str">
        <f t="shared" si="28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238" t="str">
        <f t="shared" si="32"/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8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8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8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8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8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8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8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8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8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8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8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8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8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8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8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8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8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8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8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8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8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8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8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8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8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8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8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8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8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8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8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8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8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8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8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8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8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8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8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8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8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8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8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8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8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8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8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8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8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8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8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8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8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8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8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8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8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8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8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8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8" t="str">
        <f t="shared" si="32"/>
        <v/>
      </c>
    </row>
    <row r="299" spans="1:72" hidden="1">
      <c r="A299" s="44" t="str">
        <f t="shared" ref="A299:A362" si="33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4">IF(AND(BR299&lt;1,BS299&lt;1),"Produção e Intervalo",IF(BR299&lt;1,"Intervalo",IF(BS299&lt;1,"Produção","Aderente")))</f>
        <v>Aderente</v>
      </c>
      <c r="BR299" s="15" t="str">
        <f t="shared" ref="BR299:BR362" si="35">IF(OR(B299="",F299=""),"*",AY299/P299)</f>
        <v>*</v>
      </c>
      <c r="BS299" s="15" t="str">
        <f t="shared" ref="BS299:BS362" si="36">IF(OR(B299="",F299=""),"*",BA299/Q299)</f>
        <v>*</v>
      </c>
      <c r="BT299" s="238" t="str">
        <f t="shared" ref="BT299:BT362" si="37">IF(BN299="","",SUBSTITUTE(BM299," ","")&amp;SUBSTITUTE(BN299," ",""))</f>
        <v/>
      </c>
    </row>
    <row r="300" spans="1:72" hidden="1">
      <c r="A300" s="44" t="str">
        <f t="shared" si="33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4"/>
        <v>Aderente</v>
      </c>
      <c r="BR300" s="15" t="str">
        <f t="shared" si="35"/>
        <v>*</v>
      </c>
      <c r="BS300" s="15" t="str">
        <f t="shared" si="36"/>
        <v>*</v>
      </c>
      <c r="BT300" s="238" t="str">
        <f t="shared" si="37"/>
        <v/>
      </c>
    </row>
    <row r="301" spans="1:72" hidden="1">
      <c r="A301" s="44" t="str">
        <f t="shared" si="33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4"/>
        <v>Aderente</v>
      </c>
      <c r="BR301" s="15" t="str">
        <f t="shared" si="35"/>
        <v>*</v>
      </c>
      <c r="BS301" s="15" t="str">
        <f t="shared" si="36"/>
        <v>*</v>
      </c>
      <c r="BT301" s="238" t="str">
        <f t="shared" si="37"/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8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8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8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8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8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8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8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8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8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8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8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8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8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8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8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8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8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8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8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8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8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8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8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8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8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8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8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8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8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8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8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8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8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8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8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8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8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8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8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8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8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8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8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8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8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8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8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8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8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8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8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8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8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8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8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8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8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8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8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8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8" t="str">
        <f t="shared" si="37"/>
        <v/>
      </c>
    </row>
    <row r="363" spans="1:72" hidden="1">
      <c r="A363" s="44" t="str">
        <f t="shared" ref="A363:A426" si="38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9">IF(AND(BR363&lt;1,BS363&lt;1),"Produção e Intervalo",IF(BR363&lt;1,"Intervalo",IF(BS363&lt;1,"Produção","Aderente")))</f>
        <v>Aderente</v>
      </c>
      <c r="BR363" s="15" t="str">
        <f t="shared" ref="BR363:BR426" si="40">IF(OR(B363="",F363=""),"*",AY363/P363)</f>
        <v>*</v>
      </c>
      <c r="BS363" s="15" t="str">
        <f t="shared" ref="BS363:BS426" si="41">IF(OR(B363="",F363=""),"*",BA363/Q363)</f>
        <v>*</v>
      </c>
      <c r="BT363" s="238" t="str">
        <f t="shared" ref="BT363:BT426" si="42">IF(BN363="","",SUBSTITUTE(BM363," ","")&amp;SUBSTITUTE(BN363," ",""))</f>
        <v/>
      </c>
    </row>
    <row r="364" spans="1:72" hidden="1">
      <c r="A364" s="44" t="str">
        <f t="shared" si="38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9"/>
        <v>Aderente</v>
      </c>
      <c r="BR364" s="15" t="str">
        <f t="shared" si="40"/>
        <v>*</v>
      </c>
      <c r="BS364" s="15" t="str">
        <f t="shared" si="41"/>
        <v>*</v>
      </c>
      <c r="BT364" s="238" t="str">
        <f t="shared" si="42"/>
        <v/>
      </c>
    </row>
    <row r="365" spans="1:72" hidden="1">
      <c r="A365" s="44" t="str">
        <f t="shared" si="38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9"/>
        <v>Aderente</v>
      </c>
      <c r="BR365" s="15" t="str">
        <f t="shared" si="40"/>
        <v>*</v>
      </c>
      <c r="BS365" s="15" t="str">
        <f t="shared" si="41"/>
        <v>*</v>
      </c>
      <c r="BT365" s="238" t="str">
        <f t="shared" si="42"/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8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8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8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8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8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8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8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8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8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8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8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8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8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8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8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8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8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8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8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8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8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8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8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8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8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8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8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8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8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8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8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8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8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8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8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8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8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8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8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8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8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8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8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8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8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8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8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8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8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8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8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8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8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8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8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8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8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8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8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8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8" t="str">
        <f t="shared" si="42"/>
        <v/>
      </c>
    </row>
    <row r="427" spans="1:72" hidden="1">
      <c r="A427" s="44" t="str">
        <f t="shared" ref="A427:A490" si="43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4">IF(AND(BR427&lt;1,BS427&lt;1),"Produção e Intervalo",IF(BR427&lt;1,"Intervalo",IF(BS427&lt;1,"Produção","Aderente")))</f>
        <v>Aderente</v>
      </c>
      <c r="BR427" s="15" t="str">
        <f t="shared" ref="BR427:BR490" si="45">IF(OR(B427="",F427=""),"*",AY427/P427)</f>
        <v>*</v>
      </c>
      <c r="BS427" s="15" t="str">
        <f t="shared" ref="BS427:BS490" si="46">IF(OR(B427="",F427=""),"*",BA427/Q427)</f>
        <v>*</v>
      </c>
      <c r="BT427" s="238" t="str">
        <f t="shared" ref="BT427:BT490" si="47">IF(BN427="","",SUBSTITUTE(BM427," ","")&amp;SUBSTITUTE(BN427," ",""))</f>
        <v/>
      </c>
    </row>
    <row r="428" spans="1:72" hidden="1">
      <c r="A428" s="44" t="str">
        <f t="shared" si="43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4"/>
        <v>Aderente</v>
      </c>
      <c r="BR428" s="15" t="str">
        <f t="shared" si="45"/>
        <v>*</v>
      </c>
      <c r="BS428" s="15" t="str">
        <f t="shared" si="46"/>
        <v>*</v>
      </c>
      <c r="BT428" s="238" t="str">
        <f t="shared" si="47"/>
        <v/>
      </c>
    </row>
    <row r="429" spans="1:72" hidden="1">
      <c r="A429" s="44" t="str">
        <f t="shared" si="43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4"/>
        <v>Aderente</v>
      </c>
      <c r="BR429" s="15" t="str">
        <f t="shared" si="45"/>
        <v>*</v>
      </c>
      <c r="BS429" s="15" t="str">
        <f t="shared" si="46"/>
        <v>*</v>
      </c>
      <c r="BT429" s="238" t="str">
        <f t="shared" si="47"/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8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8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8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8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8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8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8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8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8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8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8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8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8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8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8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8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8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8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8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8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8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8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8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8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8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8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8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8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8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8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8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8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8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8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8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8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8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8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8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8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8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8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8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8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8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8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8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8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8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8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8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8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8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8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8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8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8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8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8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8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8" t="str">
        <f t="shared" si="47"/>
        <v/>
      </c>
    </row>
    <row r="491" spans="1:72" hidden="1">
      <c r="A491" s="44" t="str">
        <f t="shared" ref="A491:A554" si="48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9">IF(AND(BR491&lt;1,BS491&lt;1),"Produção e Intervalo",IF(BR491&lt;1,"Intervalo",IF(BS491&lt;1,"Produção","Aderente")))</f>
        <v>Aderente</v>
      </c>
      <c r="BR491" s="15" t="str">
        <f t="shared" ref="BR491:BR554" si="50">IF(OR(B491="",F491=""),"*",AY491/P491)</f>
        <v>*</v>
      </c>
      <c r="BS491" s="15" t="str">
        <f t="shared" ref="BS491:BS554" si="51">IF(OR(B491="",F491=""),"*",BA491/Q491)</f>
        <v>*</v>
      </c>
      <c r="BT491" s="238" t="str">
        <f t="shared" ref="BT491:BT554" si="52">IF(BN491="","",SUBSTITUTE(BM491," ","")&amp;SUBSTITUTE(BN491," ",""))</f>
        <v/>
      </c>
    </row>
    <row r="492" spans="1:72" hidden="1">
      <c r="A492" s="44" t="str">
        <f t="shared" si="48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9"/>
        <v>Aderente</v>
      </c>
      <c r="BR492" s="15" t="str">
        <f t="shared" si="50"/>
        <v>*</v>
      </c>
      <c r="BS492" s="15" t="str">
        <f t="shared" si="51"/>
        <v>*</v>
      </c>
      <c r="BT492" s="238" t="str">
        <f t="shared" si="52"/>
        <v/>
      </c>
    </row>
    <row r="493" spans="1:72" hidden="1">
      <c r="A493" s="44" t="str">
        <f t="shared" si="48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9"/>
        <v>Aderente</v>
      </c>
      <c r="BR493" s="15" t="str">
        <f t="shared" si="50"/>
        <v>*</v>
      </c>
      <c r="BS493" s="15" t="str">
        <f t="shared" si="51"/>
        <v>*</v>
      </c>
      <c r="BT493" s="238" t="str">
        <f t="shared" si="52"/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8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8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8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8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8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8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8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8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8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8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8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8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8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8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8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8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8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8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8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8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8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8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8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8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8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8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8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8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8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8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8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8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8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8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8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8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8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8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8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8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8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8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8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8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8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8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8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8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8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8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8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8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8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8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8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8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8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8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8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8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8" t="str">
        <f t="shared" si="52"/>
        <v/>
      </c>
    </row>
    <row r="555" spans="1:72" hidden="1">
      <c r="A555" s="44" t="str">
        <f t="shared" ref="A555:A618" si="53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4">IF(AND(BR555&lt;1,BS555&lt;1),"Produção e Intervalo",IF(BR555&lt;1,"Intervalo",IF(BS555&lt;1,"Produção","Aderente")))</f>
        <v>Aderente</v>
      </c>
      <c r="BR555" s="15" t="str">
        <f t="shared" ref="BR555:BR618" si="55">IF(OR(B555="",F555=""),"*",AY555/P555)</f>
        <v>*</v>
      </c>
      <c r="BS555" s="15" t="str">
        <f t="shared" ref="BS555:BS618" si="56">IF(OR(B555="",F555=""),"*",BA555/Q555)</f>
        <v>*</v>
      </c>
      <c r="BT555" s="238" t="str">
        <f t="shared" ref="BT555:BT618" si="57">IF(BN555="","",SUBSTITUTE(BM555," ","")&amp;SUBSTITUTE(BN555," ",""))</f>
        <v/>
      </c>
    </row>
    <row r="556" spans="1:72" hidden="1">
      <c r="A556" s="44" t="str">
        <f t="shared" si="53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4"/>
        <v>Aderente</v>
      </c>
      <c r="BR556" s="15" t="str">
        <f t="shared" si="55"/>
        <v>*</v>
      </c>
      <c r="BS556" s="15" t="str">
        <f t="shared" si="56"/>
        <v>*</v>
      </c>
      <c r="BT556" s="238" t="str">
        <f t="shared" si="57"/>
        <v/>
      </c>
    </row>
    <row r="557" spans="1:72" hidden="1">
      <c r="A557" s="44" t="str">
        <f t="shared" si="53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4"/>
        <v>Aderente</v>
      </c>
      <c r="BR557" s="15" t="str">
        <f t="shared" si="55"/>
        <v>*</v>
      </c>
      <c r="BS557" s="15" t="str">
        <f t="shared" si="56"/>
        <v>*</v>
      </c>
      <c r="BT557" s="238" t="str">
        <f t="shared" si="57"/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8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8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8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8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8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8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8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8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8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8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8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8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8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8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8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8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8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8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8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8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8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8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8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8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8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8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8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8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8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8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8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8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8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8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8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8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8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8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8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8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8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8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8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8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8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8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8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8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8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8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8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8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8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8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8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8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8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8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8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8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8" t="str">
        <f t="shared" si="57"/>
        <v/>
      </c>
    </row>
    <row r="619" spans="1:72" hidden="1">
      <c r="A619" s="44" t="str">
        <f t="shared" ref="A619:A682" si="58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9">IF(AND(BR619&lt;1,BS619&lt;1),"Produção e Intervalo",IF(BR619&lt;1,"Intervalo",IF(BS619&lt;1,"Produção","Aderente")))</f>
        <v>Aderente</v>
      </c>
      <c r="BR619" s="15" t="str">
        <f t="shared" ref="BR619:BR682" si="60">IF(OR(B619="",F619=""),"*",AY619/P619)</f>
        <v>*</v>
      </c>
      <c r="BS619" s="15" t="str">
        <f t="shared" ref="BS619:BS682" si="61">IF(OR(B619="",F619=""),"*",BA619/Q619)</f>
        <v>*</v>
      </c>
      <c r="BT619" s="238" t="str">
        <f t="shared" ref="BT619:BT682" si="62">IF(BN619="","",SUBSTITUTE(BM619," ","")&amp;SUBSTITUTE(BN619," ",""))</f>
        <v/>
      </c>
    </row>
    <row r="620" spans="1:72" hidden="1">
      <c r="A620" s="44" t="str">
        <f t="shared" si="58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9"/>
        <v>Aderente</v>
      </c>
      <c r="BR620" s="15" t="str">
        <f t="shared" si="60"/>
        <v>*</v>
      </c>
      <c r="BS620" s="15" t="str">
        <f t="shared" si="61"/>
        <v>*</v>
      </c>
      <c r="BT620" s="238" t="str">
        <f t="shared" si="62"/>
        <v/>
      </c>
    </row>
    <row r="621" spans="1:72" hidden="1">
      <c r="A621" s="44" t="str">
        <f t="shared" si="58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9"/>
        <v>Aderente</v>
      </c>
      <c r="BR621" s="15" t="str">
        <f t="shared" si="60"/>
        <v>*</v>
      </c>
      <c r="BS621" s="15" t="str">
        <f t="shared" si="61"/>
        <v>*</v>
      </c>
      <c r="BT621" s="238" t="str">
        <f t="shared" si="62"/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8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8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8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8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8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8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8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8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8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8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8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8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8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8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8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8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8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8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8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8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8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8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8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8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8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8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8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8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8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8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8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8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8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8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8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8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8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8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8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8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8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8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8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8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8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8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8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8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8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8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8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8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8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8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8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8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8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8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8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8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8" t="str">
        <f t="shared" si="62"/>
        <v/>
      </c>
    </row>
    <row r="683" spans="1:72" hidden="1">
      <c r="A683" s="44" t="str">
        <f t="shared" ref="A683:A746" si="63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4">IF(AND(BR683&lt;1,BS683&lt;1),"Produção e Intervalo",IF(BR683&lt;1,"Intervalo",IF(BS683&lt;1,"Produção","Aderente")))</f>
        <v>Aderente</v>
      </c>
      <c r="BR683" s="15" t="str">
        <f t="shared" ref="BR683:BR746" si="65">IF(OR(B683="",F683=""),"*",AY683/P683)</f>
        <v>*</v>
      </c>
      <c r="BS683" s="15" t="str">
        <f t="shared" ref="BS683:BS746" si="66">IF(OR(B683="",F683=""),"*",BA683/Q683)</f>
        <v>*</v>
      </c>
      <c r="BT683" s="238" t="str">
        <f t="shared" ref="BT683:BT746" si="67">IF(BN683="","",SUBSTITUTE(BM683," ","")&amp;SUBSTITUTE(BN683," ",""))</f>
        <v/>
      </c>
    </row>
    <row r="684" spans="1:72" hidden="1">
      <c r="A684" s="44" t="str">
        <f t="shared" si="63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4"/>
        <v>Aderente</v>
      </c>
      <c r="BR684" s="15" t="str">
        <f t="shared" si="65"/>
        <v>*</v>
      </c>
      <c r="BS684" s="15" t="str">
        <f t="shared" si="66"/>
        <v>*</v>
      </c>
      <c r="BT684" s="238" t="str">
        <f t="shared" si="67"/>
        <v/>
      </c>
    </row>
    <row r="685" spans="1:72" hidden="1">
      <c r="A685" s="44" t="str">
        <f t="shared" si="63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4"/>
        <v>Aderente</v>
      </c>
      <c r="BR685" s="15" t="str">
        <f t="shared" si="65"/>
        <v>*</v>
      </c>
      <c r="BS685" s="15" t="str">
        <f t="shared" si="66"/>
        <v>*</v>
      </c>
      <c r="BT685" s="238" t="str">
        <f t="shared" si="67"/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8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8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8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8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8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8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8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8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8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8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8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8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8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8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8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8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8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8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8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8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8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8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8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8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8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8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8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8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8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8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8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8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8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8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8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8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8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8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8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8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8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8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8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8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8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8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8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8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8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8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8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8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8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8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8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8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8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8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8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8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8" t="str">
        <f t="shared" si="67"/>
        <v/>
      </c>
    </row>
    <row r="747" spans="1:72" hidden="1">
      <c r="A747" s="44" t="str">
        <f t="shared" ref="A747:A772" si="68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9">IF(AND(BR747&lt;1,BS747&lt;1),"Produção e Intervalo",IF(BR747&lt;1,"Intervalo",IF(BS747&lt;1,"Produção","Aderente")))</f>
        <v>Aderente</v>
      </c>
      <c r="BR747" s="15" t="str">
        <f t="shared" ref="BR747:BR772" si="70">IF(OR(B747="",F747=""),"*",AY747/P747)</f>
        <v>*</v>
      </c>
      <c r="BS747" s="15" t="str">
        <f t="shared" ref="BS747:BS772" si="71">IF(OR(B747="",F747=""),"*",BA747/Q747)</f>
        <v>*</v>
      </c>
      <c r="BT747" s="238" t="str">
        <f t="shared" ref="BT747:BT772" si="72">IF(BN747="","",SUBSTITUTE(BM747," ","")&amp;SUBSTITUTE(BN747," ",""))</f>
        <v/>
      </c>
    </row>
    <row r="748" spans="1:72" hidden="1">
      <c r="A748" s="44" t="str">
        <f t="shared" si="68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238" t="str">
        <f t="shared" si="72"/>
        <v/>
      </c>
    </row>
    <row r="749" spans="1:72" hidden="1">
      <c r="A749" s="44" t="str">
        <f t="shared" si="68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238" t="str">
        <f t="shared" si="72"/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8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8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8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8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8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8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8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8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8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8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8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8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8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8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8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8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8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8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8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8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8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8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8" t="str">
        <f t="shared" si="72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20" operator="equal">
      <formula>"ERRO"</formula>
    </cfRule>
  </conditionalFormatting>
  <conditionalFormatting sqref="X4 Y1:Z5 Y8:Z772">
    <cfRule type="cellIs" dxfId="123" priority="18509" operator="equal">
      <formula>"OPORTUNIDADE"</formula>
    </cfRule>
  </conditionalFormatting>
  <conditionalFormatting sqref="AZ6:AZ772">
    <cfRule type="expression" dxfId="122" priority="18504">
      <formula>$BU6=1</formula>
    </cfRule>
  </conditionalFormatting>
  <conditionalFormatting sqref="BQ6:BQ772">
    <cfRule type="cellIs" dxfId="121" priority="18515" operator="equal">
      <formula>"Produção e Intervalo"</formula>
    </cfRule>
    <cfRule type="cellIs" dxfId="120" priority="18516" operator="equal">
      <formula>"Aderente"</formula>
    </cfRule>
    <cfRule type="cellIs" dxfId="119" priority="18517" operator="equal">
      <formula>"Intervalo"</formula>
    </cfRule>
    <cfRule type="cellIs" dxfId="118" priority="18518" operator="equal">
      <formula>"Produção"</formula>
    </cfRule>
    <cfRule type="cellIs" dxfId="117" priority="18519" operator="equal">
      <formula>"ERRO"</formula>
    </cfRule>
  </conditionalFormatting>
  <conditionalFormatting sqref="BR6:BS772">
    <cfRule type="cellIs" dxfId="116" priority="18497" operator="equal">
      <formula>"*"</formula>
    </cfRule>
    <cfRule type="cellIs" dxfId="115" priority="18498" operator="greaterThanOrEqual">
      <formula>1</formula>
    </cfRule>
    <cfRule type="cellIs" dxfId="114" priority="18499" operator="lessThan">
      <formula>1</formula>
    </cfRule>
  </conditionalFormatting>
  <conditionalFormatting sqref="Y8:Z772">
    <cfRule type="cellIs" dxfId="113" priority="18445" operator="equal">
      <formula>"NÃO"</formula>
    </cfRule>
    <cfRule type="cellIs" dxfId="112" priority="18446" operator="equal">
      <formula>"SIM"</formula>
    </cfRule>
  </conditionalFormatting>
  <conditionalFormatting sqref="Y1047835:Y1048576">
    <cfRule type="cellIs" dxfId="111" priority="18326" operator="equal">
      <formula>"OPORTUNIDADE"</formula>
    </cfRule>
  </conditionalFormatting>
  <conditionalFormatting sqref="Y1047835:Y1048576">
    <cfRule type="cellIs" dxfId="110" priority="18324" operator="equal">
      <formula>"NÃO"</formula>
    </cfRule>
    <cfRule type="cellIs" dxfId="109" priority="18325" operator="equal">
      <formula>"SIM"</formula>
    </cfRule>
  </conditionalFormatting>
  <conditionalFormatting sqref="Y6:Y7">
    <cfRule type="cellIs" dxfId="108" priority="46" operator="equal">
      <formula>"OPORTUNIDADE"</formula>
    </cfRule>
  </conditionalFormatting>
  <conditionalFormatting sqref="Y6:Y7">
    <cfRule type="cellIs" dxfId="107" priority="44" operator="equal">
      <formula>"NÃO"</formula>
    </cfRule>
    <cfRule type="cellIs" dxfId="106" priority="45" operator="equal">
      <formula>"SIM"</formula>
    </cfRule>
  </conditionalFormatting>
  <conditionalFormatting sqref="BK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69 BK171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4001">
      <iconSet showValue="0">
        <cfvo type="percent" val="0"/>
        <cfvo type="num" val="1"/>
        <cfvo type="num" val="1" gte="0"/>
      </iconSet>
    </cfRule>
    <cfRule type="iconSet" priority="24002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7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AI6:AI772 F6:F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1648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1649</v>
      </c>
      <c r="E3" s="182" t="s">
        <v>1650</v>
      </c>
      <c r="F3" s="182" t="s">
        <v>1651</v>
      </c>
      <c r="G3" s="182" t="s">
        <v>1652</v>
      </c>
      <c r="H3" s="182" t="s">
        <v>1653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1654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1655</v>
      </c>
      <c r="D12" s="183">
        <v>9049</v>
      </c>
      <c r="E12" s="184">
        <v>46044</v>
      </c>
      <c r="F12" s="186" t="s">
        <v>1656</v>
      </c>
      <c r="G12" s="183" t="s">
        <v>1657</v>
      </c>
      <c r="H12" s="183"/>
    </row>
    <row r="13" spans="3:8">
      <c r="C13" s="183" t="s">
        <v>1655</v>
      </c>
      <c r="D13" s="183">
        <v>9044</v>
      </c>
      <c r="E13" s="184">
        <v>46044</v>
      </c>
      <c r="F13" s="186" t="s">
        <v>1658</v>
      </c>
      <c r="G13" s="183" t="s">
        <v>1659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1660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1660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abSelected="1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1661</v>
      </c>
      <c r="C2" s="83" t="s">
        <v>1197</v>
      </c>
      <c r="D2" s="83" t="s">
        <v>1199</v>
      </c>
      <c r="E2" s="83" t="s">
        <v>1662</v>
      </c>
      <c r="F2" s="83" t="s">
        <v>1663</v>
      </c>
      <c r="G2" s="83" t="s">
        <v>1664</v>
      </c>
      <c r="H2" s="83" t="s">
        <v>1665</v>
      </c>
      <c r="I2" s="83" t="s">
        <v>1666</v>
      </c>
      <c r="J2" s="83" t="s">
        <v>1667</v>
      </c>
      <c r="K2" s="109" t="s">
        <v>1668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TBS-TAL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TIN2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W48</v>
      </c>
      <c r="E196" s="101" t="str">
        <f>IF(FN_MC!H190="","*",FN_MC!H190)</f>
        <v>TIN2</v>
      </c>
      <c r="F196" s="114" t="str">
        <f>IF(FN_MC!M190="","*",FN_MC!M190)</f>
        <v>TIN</v>
      </c>
      <c r="G196" s="101" t="str">
        <f>IF(FN_MC!I190="","*",FN_MC!I190)</f>
        <v>TIN2</v>
      </c>
      <c r="H196" s="101" t="str">
        <f>IF(FN_MC!AB190="","*",FN_MC!AB190)</f>
        <v>FIXO</v>
      </c>
      <c r="I196" s="101" t="str">
        <f>IF(FN_MC!AC190="","*",FN_MC!AC190)</f>
        <v>*</v>
      </c>
      <c r="J196" s="102">
        <f>IF(FN_MC!AA190="","*",FN_MC!AA190)</f>
        <v>1</v>
      </c>
      <c r="K196" s="112">
        <f>IF(FN_MC!AD190="","*",FN_MC!AD190)</f>
        <v>0.29166666666666669</v>
      </c>
    </row>
    <row r="197" spans="2:11">
      <c r="B197" s="100" t="str">
        <f>IF(FN_MC!Y191="","*",FN_MC!Y191)</f>
        <v>*</v>
      </c>
      <c r="C197" s="101">
        <f>IF(FN_MC!B191="","*",FN_MC!B191)</f>
        <v>46071</v>
      </c>
      <c r="D197" s="101" t="str">
        <f>IF(FN_MC!D191="","*",FN_MC!D191)</f>
        <v>MARCOS (TF-520)</v>
      </c>
      <c r="E197" s="101" t="str">
        <f>IF(FN_MC!H191="","*",FN_MC!H191)</f>
        <v>K52TQI</v>
      </c>
      <c r="F197" s="114" t="str">
        <f>IF(FN_MC!M191="","*",FN_MC!M191)</f>
        <v>TSP-TIN</v>
      </c>
      <c r="G197" s="101" t="str">
        <f>IF(FN_MC!I191="","*",FN_MC!I191)</f>
        <v>-</v>
      </c>
      <c r="H197" s="101" t="str">
        <f>IF(FN_MC!AB191="","*",FN_MC!AB191)</f>
        <v>-</v>
      </c>
      <c r="I197" s="101" t="str">
        <f>IF(FN_MC!AC191="","*",FN_MC!AC191)</f>
        <v>*</v>
      </c>
      <c r="J197" s="102" t="str">
        <f>IF(FN_MC!AA191="","*",FN_MC!AA191)</f>
        <v>-</v>
      </c>
      <c r="K197" s="112" t="str">
        <f>IF(FN_MC!AD191="","*",FN_MC!AD191)</f>
        <v>-</v>
      </c>
    </row>
    <row r="198" spans="2:11">
      <c r="B198" s="100" t="str">
        <f>IF(FN_MC!Y192="","*",FN_MC!Y192)</f>
        <v>*</v>
      </c>
      <c r="C198" s="101">
        <f>IF(FN_MC!B192="","*",FN_MC!B192)</f>
        <v>46071</v>
      </c>
      <c r="D198" s="101" t="str">
        <f>IF(FN_MC!D192="","*",FN_MC!D192)</f>
        <v>E18</v>
      </c>
      <c r="E198" s="101" t="str">
        <f>IF(FN_MC!H192="","*",FN_MC!H192)</f>
        <v>ZIQZQY</v>
      </c>
      <c r="F198" s="114" t="str">
        <f>IF(FN_MC!M192="","*",FN_MC!M192)</f>
        <v>ZIQ-ZQY</v>
      </c>
      <c r="G198" s="101" t="str">
        <f>IF(FN_MC!I192="","*",FN_MC!I192)</f>
        <v>ZIQZQY</v>
      </c>
      <c r="H198" s="101" t="str">
        <f>IF(FN_MC!AB192="","*",FN_MC!AB192)</f>
        <v>FIXO</v>
      </c>
      <c r="I198" s="101" t="str">
        <f>IF(FN_MC!AC192="","*",FN_MC!AC192)</f>
        <v>*</v>
      </c>
      <c r="J198" s="102">
        <f>IF(FN_MC!AA192="","*",FN_MC!AA192)</f>
        <v>1</v>
      </c>
      <c r="K198" s="112">
        <f>IF(FN_MC!AD192="","*",FN_MC!AD192)</f>
        <v>0.29166666666666669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>
      <c r="B200" s="100" t="str">
        <f>IF(FN_MC!Y194="","*",FN_MC!Y194)</f>
        <v>*</v>
      </c>
      <c r="C200" s="101">
        <f>IF(FN_MC!B194="","*",FN_MC!B194)</f>
        <v>46071</v>
      </c>
      <c r="D200" s="101" t="str">
        <f>IF(FN_MC!D194="","*",FN_MC!D194)</f>
        <v>E14</v>
      </c>
      <c r="E200" s="101" t="str">
        <f>IF(FN_MC!H194="","*",FN_MC!H194)</f>
        <v>PSG2</v>
      </c>
      <c r="F200" s="114" t="str">
        <f>IF(FN_MC!M194="","*",FN_MC!M194)</f>
        <v>PSG-PSO</v>
      </c>
      <c r="G200" s="101" t="str">
        <f>IF(FN_MC!I194="","*",FN_MC!I194)</f>
        <v>PSG2</v>
      </c>
      <c r="H200" s="101" t="str">
        <f>IF(FN_MC!AB194="","*",FN_MC!AB194)</f>
        <v>FIXO</v>
      </c>
      <c r="I200" s="101" t="str">
        <f>IF(FN_MC!AC194="","*",FN_MC!AC194)</f>
        <v>*</v>
      </c>
      <c r="J200" s="102">
        <f>IF(FN_MC!AA194="","*",FN_MC!AA194)</f>
        <v>1</v>
      </c>
      <c r="K200" s="112">
        <f>IF(FN_MC!AD194="","*",FN_MC!AD194)</f>
        <v>0.95833333333333337</v>
      </c>
    </row>
    <row r="201" spans="2:11">
      <c r="B201" s="100" t="str">
        <f>IF(FN_MC!Y195="","*",FN_MC!Y195)</f>
        <v>*</v>
      </c>
      <c r="C201" s="101">
        <f>IF(FN_MC!B195="","*",FN_MC!B195)</f>
        <v>46071</v>
      </c>
      <c r="D201" s="101" t="str">
        <f>IF(FN_MC!D195="","*",FN_MC!D195)</f>
        <v>V80</v>
      </c>
      <c r="E201" s="101" t="str">
        <f>IF(FN_MC!H195="","*",FN_MC!H195)</f>
        <v>PAM</v>
      </c>
      <c r="F201" s="114" t="str">
        <f>IF(FN_MC!M195="","*",FN_MC!M195)</f>
        <v>PAM-PQI</v>
      </c>
      <c r="G201" s="101" t="str">
        <f>IF(FN_MC!I195="","*",FN_MC!I195)</f>
        <v>PQI</v>
      </c>
      <c r="H201" s="101" t="str">
        <f>IF(FN_MC!AB195="","*",FN_MC!AB195)</f>
        <v>FIXO</v>
      </c>
      <c r="I201" s="101" t="str">
        <f>IF(FN_MC!AC195="","*",FN_MC!AC195)</f>
        <v>*</v>
      </c>
      <c r="J201" s="102">
        <f>IF(FN_MC!AA195="","*",FN_MC!AA195)</f>
        <v>1</v>
      </c>
      <c r="K201" s="112">
        <f>IF(FN_MC!AD195="","*",FN_MC!AD195)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TBS-TAL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TIN2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W48</v>
      </c>
      <c r="E215" s="101" t="str">
        <f>IF(FN_MC!H190="","*",FN_MC!H190)</f>
        <v>TIN2</v>
      </c>
      <c r="F215" s="114" t="str">
        <f>IF(FN_MC!M190="","*",FN_MC!M190)</f>
        <v>TIN</v>
      </c>
      <c r="G215" s="101" t="str">
        <f>IF(FN_MC!I190="","*",FN_MC!I190)</f>
        <v>TIN2</v>
      </c>
      <c r="H215" s="101" t="str">
        <f>IF(FN_MC!AB190="","*",FN_MC!AB190)</f>
        <v>FIXO</v>
      </c>
      <c r="I215" s="101" t="str">
        <f>IF(FN_MC!AC190="","*",FN_MC!AC190)</f>
        <v>*</v>
      </c>
      <c r="J215" s="102">
        <f>IF(FN_MC!AA190="","*",FN_MC!AA190)</f>
        <v>1</v>
      </c>
      <c r="K215" s="112">
        <f>IF(FN_MC!AD190="","*",FN_MC!AD190)</f>
        <v>0.29166666666666669</v>
      </c>
    </row>
    <row r="216" spans="2:11">
      <c r="B216" s="100" t="str">
        <f>IF(FN_MC!Y191="","*",FN_MC!Y191)</f>
        <v>*</v>
      </c>
      <c r="C216" s="101">
        <f>IF(FN_MC!B191="","*",FN_MC!B191)</f>
        <v>46071</v>
      </c>
      <c r="D216" s="101" t="str">
        <f>IF(FN_MC!D191="","*",FN_MC!D191)</f>
        <v>MARCOS (TF-520)</v>
      </c>
      <c r="E216" s="101" t="str">
        <f>IF(FN_MC!H191="","*",FN_MC!H191)</f>
        <v>K52TQI</v>
      </c>
      <c r="F216" s="114" t="str">
        <f>IF(FN_MC!M191="","*",FN_MC!M191)</f>
        <v>TSP-TIN</v>
      </c>
      <c r="G216" s="101" t="str">
        <f>IF(FN_MC!I191="","*",FN_MC!I191)</f>
        <v>-</v>
      </c>
      <c r="H216" s="101" t="str">
        <f>IF(FN_MC!AB191="","*",FN_MC!AB191)</f>
        <v>-</v>
      </c>
      <c r="I216" s="101" t="str">
        <f>IF(FN_MC!AC191="","*",FN_MC!AC191)</f>
        <v>*</v>
      </c>
      <c r="J216" s="102" t="str">
        <f>IF(FN_MC!AA191="","*",FN_MC!AA191)</f>
        <v>-</v>
      </c>
      <c r="K216" s="112" t="str">
        <f>IF(FN_MC!AD191="","*",FN_MC!AD191)</f>
        <v>-</v>
      </c>
    </row>
    <row r="217" spans="2:11">
      <c r="B217" s="100" t="str">
        <f>IF(FN_MC!Y192="","*",FN_MC!Y192)</f>
        <v>*</v>
      </c>
      <c r="C217" s="101">
        <f>IF(FN_MC!B192="","*",FN_MC!B192)</f>
        <v>46071</v>
      </c>
      <c r="D217" s="101" t="str">
        <f>IF(FN_MC!D192="","*",FN_MC!D192)</f>
        <v>E18</v>
      </c>
      <c r="E217" s="101" t="str">
        <f>IF(FN_MC!H192="","*",FN_MC!H192)</f>
        <v>ZIQZQY</v>
      </c>
      <c r="F217" s="114" t="str">
        <f>IF(FN_MC!M192="","*",FN_MC!M192)</f>
        <v>ZIQ-ZQY</v>
      </c>
      <c r="G217" s="101" t="str">
        <f>IF(FN_MC!I192="","*",FN_MC!I192)</f>
        <v>ZIQZQY</v>
      </c>
      <c r="H217" s="101" t="str">
        <f>IF(FN_MC!AB192="","*",FN_MC!AB192)</f>
        <v>FIXO</v>
      </c>
      <c r="I217" s="101" t="str">
        <f>IF(FN_MC!AC192="","*",FN_MC!AC192)</f>
        <v>*</v>
      </c>
      <c r="J217" s="102">
        <f>IF(FN_MC!AA192="","*",FN_MC!AA192)</f>
        <v>1</v>
      </c>
      <c r="K217" s="112">
        <f>IF(FN_MC!AD192="","*",FN_MC!AD192)</f>
        <v>0.29166666666666669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>
      <c r="B219" s="100" t="str">
        <f>IF(FN_MC!Y194="","*",FN_MC!Y194)</f>
        <v>*</v>
      </c>
      <c r="C219" s="101">
        <f>IF(FN_MC!B194="","*",FN_MC!B194)</f>
        <v>46071</v>
      </c>
      <c r="D219" s="101" t="str">
        <f>IF(FN_MC!D194="","*",FN_MC!D194)</f>
        <v>E14</v>
      </c>
      <c r="E219" s="101" t="str">
        <f>IF(FN_MC!H194="","*",FN_MC!H194)</f>
        <v>PSG2</v>
      </c>
      <c r="F219" s="114" t="str">
        <f>IF(FN_MC!M194="","*",FN_MC!M194)</f>
        <v>PSG-PSO</v>
      </c>
      <c r="G219" s="101" t="str">
        <f>IF(FN_MC!I194="","*",FN_MC!I194)</f>
        <v>PSG2</v>
      </c>
      <c r="H219" s="101" t="str">
        <f>IF(FN_MC!AB194="","*",FN_MC!AB194)</f>
        <v>FIXO</v>
      </c>
      <c r="I219" s="101" t="str">
        <f>IF(FN_MC!AC194="","*",FN_MC!AC194)</f>
        <v>*</v>
      </c>
      <c r="J219" s="102">
        <f>IF(FN_MC!AA194="","*",FN_MC!AA194)</f>
        <v>1</v>
      </c>
      <c r="K219" s="112">
        <f>IF(FN_MC!AD194="","*",FN_MC!AD194)</f>
        <v>0.95833333333333337</v>
      </c>
    </row>
    <row r="220" spans="2:11">
      <c r="B220" s="100" t="str">
        <f>IF(FN_MC!Y195="","*",FN_MC!Y195)</f>
        <v>*</v>
      </c>
      <c r="C220" s="101">
        <f>IF(FN_MC!B195="","*",FN_MC!B195)</f>
        <v>46071</v>
      </c>
      <c r="D220" s="101" t="str">
        <f>IF(FN_MC!D195="","*",FN_MC!D195)</f>
        <v>V80</v>
      </c>
      <c r="E220" s="101" t="str">
        <f>IF(FN_MC!H195="","*",FN_MC!H195)</f>
        <v>PAM</v>
      </c>
      <c r="F220" s="114" t="str">
        <f>IF(FN_MC!M195="","*",FN_MC!M195)</f>
        <v>PAM-PQI</v>
      </c>
      <c r="G220" s="101" t="str">
        <f>IF(FN_MC!I195="","*",FN_MC!I195)</f>
        <v>PQI</v>
      </c>
      <c r="H220" s="101" t="str">
        <f>IF(FN_MC!AB195="","*",FN_MC!AB195)</f>
        <v>FIXO</v>
      </c>
      <c r="I220" s="101" t="str">
        <f>IF(FN_MC!AC195="","*",FN_MC!AC195)</f>
        <v>*</v>
      </c>
      <c r="J220" s="102">
        <f>IF(FN_MC!AA195="","*",FN_MC!AA195)</f>
        <v>1</v>
      </c>
      <c r="K220" s="112">
        <f>IF(FN_MC!AD195="","*",FN_MC!AD195)</f>
        <v>0.29166666666666669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B909" sqref="B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1669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1670</v>
      </c>
      <c r="B3" s="91" t="s">
        <v>1671</v>
      </c>
      <c r="C3" s="91" t="s">
        <v>7</v>
      </c>
      <c r="D3" s="92" t="s">
        <v>1212</v>
      </c>
      <c r="E3" s="92" t="s">
        <v>366</v>
      </c>
      <c r="F3" s="92" t="s">
        <v>1672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1673</v>
      </c>
      <c r="T3" s="94" t="s">
        <v>1215</v>
      </c>
      <c r="U3" s="90">
        <f ca="1">TODAY()-1</f>
        <v>46069</v>
      </c>
      <c r="V3" s="90">
        <f ca="1">U3-1</f>
        <v>46068</v>
      </c>
      <c r="W3" s="90">
        <f ca="1">V3-1</f>
        <v>46067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27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27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2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2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27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2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2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27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2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2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2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2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27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2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2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27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2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2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2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2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2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2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27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2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2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2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27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2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2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2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2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27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2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2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20000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27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2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1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20000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27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2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2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1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2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20000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27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2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2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2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27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2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2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20000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1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>
        <f ca="1">_xlfn.XLOOKUP(G161&amp;$U$3,BS_CONTROLE[CHAVE],BS_CONTROLE[Quantidade_11],"-")</f>
        <v>1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2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27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 t="str">
        <f>IF(FN_MC!N172="","*",FN_MC!N172)</f>
        <v>TVI239</v>
      </c>
      <c r="M170" s="97">
        <f>IF(FN_MC!J172="","*",FN_MC!J172)</f>
        <v>74</v>
      </c>
      <c r="N170" s="179">
        <f>IF(FN_MC!K172="","*",FN_MC!K172)</f>
        <v>237.6</v>
      </c>
      <c r="O170" s="179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1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180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20000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92" t="str">
        <f>IF(FN_MC!N181="","*",FN_MC!N181)</f>
        <v>PPRPGO</v>
      </c>
      <c r="M179" s="97">
        <f>IF(FN_MC!J181="","*",FN_MC!J181)</f>
        <v>103</v>
      </c>
      <c r="N179" s="179">
        <f>IF(FN_MC!K181="","*",FN_MC!K181)</f>
        <v>1984</v>
      </c>
      <c r="O179" s="179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TBS1/TBS671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TBS-TAL</v>
      </c>
      <c r="L181" s="192" t="str">
        <f>IF(FN_MC!N183="","*",FN_MC!N183)</f>
        <v>TBSPAT1</v>
      </c>
      <c r="M181" s="97">
        <f>IF(FN_MC!J183="","*",FN_MC!J183)</f>
        <v>98</v>
      </c>
      <c r="N181" s="179">
        <f>IF(FN_MC!K183="","*",FN_MC!K183)</f>
        <v>661.84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1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444.66</v>
      </c>
      <c r="O182" s="179">
        <f>IF(FN_MC!L184="","*",FN_MC!L184)</f>
        <v>444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10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0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27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>
      <c r="A183" s="95" t="str">
        <f>IF(FN_MC!Y185="","*",FN_MC!Y185)</f>
        <v>*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6.25E-2</v>
      </c>
      <c r="R183" s="96" t="str">
        <f>IF(FN_MC!Q185="","*",CONCATENATE(FN_MC!Q185," ",FN_MC!R185))</f>
        <v>1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180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PEDRA - DESCARGA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 t="str">
        <f>IF(FN_MC!N188="","*",FN_MC!N188)</f>
        <v>TVI239</v>
      </c>
      <c r="M186" s="97">
        <f>IF(FN_MC!J188="","*",FN_MC!J188)</f>
        <v>74</v>
      </c>
      <c r="N186" s="179">
        <f>IF(FN_MC!K188="","*",FN_MC!K188)</f>
        <v>237.6</v>
      </c>
      <c r="O186" s="179">
        <f>IF(FN_MC!L188="","*",FN_MC!L188)</f>
        <v>234.6</v>
      </c>
      <c r="P186" s="107">
        <f>IF(FN_MC!O188="","*",FN_MC!O188)</f>
        <v>0.35416666666666669</v>
      </c>
      <c r="Q186" s="107">
        <f>IF(FN_MC!P188="","*",FN_MC!P188)</f>
        <v>6.25E-2</v>
      </c>
      <c r="R186" s="96" t="str">
        <f>IF(FN_MC!Q188="","*",CONCATENATE(FN_MC!Q188," ",FN_MC!R188))</f>
        <v>5 VAGÕES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TIN2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8.3333333333333329E-2</v>
      </c>
      <c r="R187" s="96" t="str">
        <f>IF(FN_MC!Q189="","*",CONCATENATE(FN_MC!Q189," ",FN_MC!R189))</f>
        <v>1000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W48</v>
      </c>
      <c r="H188" s="96" t="str">
        <f>IF(FN_MC!F190="","*",FN_MC!F190)</f>
        <v>MECANIZAÇÃO - DOL</v>
      </c>
      <c r="I188" s="96" t="str">
        <f>IF(FN_MC!H190="","*",FN_MC!H190)</f>
        <v>TIN2</v>
      </c>
      <c r="J188" s="96" t="str">
        <f>IF(FN_MC!I190="","*",FN_MC!I190)</f>
        <v>TIN2</v>
      </c>
      <c r="K188" s="96" t="str">
        <f>IF(FN_MC!M190="","*",FN_MC!M190)</f>
        <v>TIN</v>
      </c>
      <c r="L188" s="192" t="str">
        <f>IF(FN_MC!N190="","*",FN_MC!N190)</f>
        <v>TIN1/K97TIN</v>
      </c>
      <c r="M188" s="97">
        <f>IF(FN_MC!J190="","*",FN_MC!J190)</f>
        <v>74</v>
      </c>
      <c r="N188" s="179">
        <f>IF(FN_MC!K190="","*",FN_MC!K190)</f>
        <v>108.19499999999999</v>
      </c>
      <c r="O188" s="179">
        <f>IF(FN_MC!L190="","*",FN_MC!L190)</f>
        <v>106.19499999999999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Maik</v>
      </c>
      <c r="T188" s="96" t="str">
        <f>IF(FN_MC!W190="","*",FN_MC!W190)</f>
        <v>Mecanização DOL</v>
      </c>
      <c r="U188" s="98">
        <f ca="1">_xlfn.XLOOKUP(G188&amp;$U$3,BS_CONTROLE[CHAVE],BS_CONTROLE[Quantidade_11],"-")</f>
        <v>1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>
      <c r="A189" s="95" t="str">
        <f>IF(FN_MC!Y191="","*",FN_MC!Y191)</f>
        <v>*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MARCOS (TF-520)</v>
      </c>
      <c r="H189" s="96" t="str">
        <f>IF(FN_MC!F191="","*",FN_MC!F191)</f>
        <v>PDM - SOLDA</v>
      </c>
      <c r="I189" s="96" t="str">
        <f>IF(FN_MC!H191="","*",FN_MC!H191)</f>
        <v>K52TQI</v>
      </c>
      <c r="J189" s="96" t="str">
        <f>IF(FN_MC!I191="","*",FN_MC!I191)</f>
        <v>-</v>
      </c>
      <c r="K189" s="96" t="str">
        <f>IF(FN_MC!M191="","*",FN_MC!M191)</f>
        <v>TSP-TIN</v>
      </c>
      <c r="L189" s="192" t="str">
        <f>IF(FN_MC!N191="","*",FN_MC!N191)</f>
        <v>K97TIN</v>
      </c>
      <c r="M189" s="97">
        <f>IF(FN_MC!J191="","*",FN_MC!J191)</f>
        <v>74</v>
      </c>
      <c r="N189" s="179">
        <f>IF(FN_MC!K191="","*",FN_MC!K191)</f>
        <v>97.62</v>
      </c>
      <c r="O189" s="179" t="str">
        <f>IF(FN_MC!L191="","*",FN_MC!L191)</f>
        <v>-</v>
      </c>
      <c r="P189" s="107">
        <f>IF(FN_MC!O191="","*",FN_MC!O191)</f>
        <v>0.375</v>
      </c>
      <c r="Q189" s="107">
        <f>IF(FN_MC!P191="","*",FN_MC!P191)</f>
        <v>6.25E-2</v>
      </c>
      <c r="R189" s="96" t="str">
        <f>IF(FN_MC!Q191="","*",CONCATENATE(FN_MC!Q191," ",FN_MC!R191))</f>
        <v>1 Nº DE SOLDA</v>
      </c>
      <c r="S189" s="96" t="str">
        <f>IF(FN_MC!V191="","*",FN_MC!V191)</f>
        <v>Marcos Euzebio</v>
      </c>
      <c r="T189" s="96" t="str">
        <f>IF(FN_MC!W191="","*",FN_MC!W191)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2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>
      <c r="A190" s="95" t="str">
        <f>IF(FN_MC!Y192="","*",FN_MC!Y192)</f>
        <v>*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RAMAL</v>
      </c>
      <c r="F190" s="96">
        <f>IF(FN_MC!B192="","*",FN_MC!B192)</f>
        <v>46071</v>
      </c>
      <c r="G190" s="96" t="str">
        <f>IF(FN_MC!D192="","*",FN_MC!D192)</f>
        <v>E18</v>
      </c>
      <c r="H190" s="96" t="str">
        <f>IF(FN_MC!F192="","*",FN_MC!F192)</f>
        <v>CAMINHÃO DE SOLDA</v>
      </c>
      <c r="I190" s="96" t="str">
        <f>IF(FN_MC!H192="","*",FN_MC!H192)</f>
        <v>ZIQZQY</v>
      </c>
      <c r="J190" s="96" t="str">
        <f>IF(FN_MC!I192="","*",FN_MC!I192)</f>
        <v>ZIQZQY</v>
      </c>
      <c r="K190" s="96" t="str">
        <f>IF(FN_MC!M192="","*",FN_MC!M192)</f>
        <v>ZIQ-ZQY</v>
      </c>
      <c r="L190" s="192" t="str">
        <f>IF(FN_MC!N192="","*",FN_MC!N192)</f>
        <v>ZIQZQY</v>
      </c>
      <c r="M190" s="97">
        <f>IF(FN_MC!J192="","*",FN_MC!J192)</f>
        <v>78</v>
      </c>
      <c r="N190" s="179">
        <f>IF(FN_MC!K192="","*",FN_MC!K192)</f>
        <v>176</v>
      </c>
      <c r="O190" s="179" t="str">
        <f>IF(FN_MC!L192="","*",FN_MC!L192)</f>
        <v>-</v>
      </c>
      <c r="P190" s="107">
        <f>IF(FN_MC!O192="","*",FN_MC!O192)</f>
        <v>0.35416666666666669</v>
      </c>
      <c r="Q190" s="107">
        <f>IF(FN_MC!P192="","*",FN_MC!P192)</f>
        <v>0.125</v>
      </c>
      <c r="R190" s="96" t="str">
        <f>IF(FN_MC!Q192="","*",CONCATENATE(FN_MC!Q192," ",FN_MC!R192))</f>
        <v>3 Nº DE SOLDA</v>
      </c>
      <c r="S190" s="96" t="str">
        <f>IF(FN_MC!V192="","*",FN_MC!V192)</f>
        <v>Higor</v>
      </c>
      <c r="T190" s="96" t="str">
        <f>IF(FN_MC!W192="","*",FN_MC!W192)</f>
        <v>Caminhão de solda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>
      <c r="A192" s="95" t="str">
        <f>IF(FN_MC!Y194="","*",FN_MC!Y194)</f>
        <v>*</v>
      </c>
      <c r="B192" s="95" t="str">
        <f>IF(FN_MC!X194="","*",FN_MC!X194)</f>
        <v>Oportunidade</v>
      </c>
      <c r="C192" s="95" t="str">
        <f>IF(FN_MC!Z194="","*",FN_MC!Z194)</f>
        <v>*</v>
      </c>
      <c r="D192" s="96" t="str">
        <f>IF(FN_MC!S194="","*",FN_MC!S194)</f>
        <v>MALHA CENTRAL</v>
      </c>
      <c r="E192" s="96" t="str">
        <f>IF(FN_MC!T194="","*",FN_MC!T194)</f>
        <v>POV-PRV</v>
      </c>
      <c r="F192" s="96">
        <f>IF(FN_MC!B194="","*",FN_MC!B194)</f>
        <v>46071</v>
      </c>
      <c r="G192" s="96" t="str">
        <f>IF(FN_MC!D194="","*",FN_MC!D194)</f>
        <v>E14</v>
      </c>
      <c r="H192" s="96" t="str">
        <f>IF(FN_MC!F194="","*",FN_MC!F194)</f>
        <v>MECANIZAÇÃO - ESMERILHADORA</v>
      </c>
      <c r="I192" s="96" t="str">
        <f>IF(FN_MC!H194="","*",FN_MC!H194)</f>
        <v>PSG2</v>
      </c>
      <c r="J192" s="96" t="str">
        <f>IF(FN_MC!I194="","*",FN_MC!I194)</f>
        <v>PSG2</v>
      </c>
      <c r="K192" s="96" t="str">
        <f>IF(FN_MC!M194="","*",FN_MC!M194)</f>
        <v>PSG-PSO</v>
      </c>
      <c r="L192" s="192" t="str">
        <f>IF(FN_MC!N194="","*",FN_MC!N194)</f>
        <v>PSGPSO</v>
      </c>
      <c r="M192" s="97">
        <f>IF(FN_MC!J194="","*",FN_MC!J194)</f>
        <v>103</v>
      </c>
      <c r="N192" s="179">
        <f>IF(FN_MC!K194="","*",FN_MC!K194)</f>
        <v>1806</v>
      </c>
      <c r="O192" s="179">
        <f>IF(FN_MC!L194="","*",FN_MC!L194)</f>
        <v>1836</v>
      </c>
      <c r="P192" s="107">
        <f>IF(FN_MC!O194="","*",FN_MC!O194)</f>
        <v>0.99930555555555556</v>
      </c>
      <c r="Q192" s="107">
        <f>IF(FN_MC!P194="","*",FN_MC!P194)</f>
        <v>4.1666666666666664E-2</v>
      </c>
      <c r="R192" s="96" t="str">
        <f>IF(FN_MC!Q194="","*",CONCATENATE(FN_MC!Q194," ",FN_MC!R194))</f>
        <v>30000 M</v>
      </c>
      <c r="S192" s="96" t="str">
        <f>IF(FN_MC!V194="","*",FN_MC!V194)</f>
        <v>Fernanda</v>
      </c>
      <c r="T192" s="96" t="str">
        <f>IF(FN_MC!W194="","*",FN_MC!W194)</f>
        <v xml:space="preserve">Esmerilhadora </v>
      </c>
      <c r="U192" s="98">
        <f ca="1">_xlfn.XLOOKUP(G192&amp;$U$3,BS_CONTROLE[CHAVE],BS_CONTROLE[Quantidade_11],"-")</f>
        <v>20000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>
      <c r="A193" s="95" t="str">
        <f>IF(FN_MC!Y195="","*",FN_MC!Y195)</f>
        <v>*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PRV-POV</v>
      </c>
      <c r="F193" s="96">
        <f>IF(FN_MC!B195="","*",FN_MC!B195)</f>
        <v>46071</v>
      </c>
      <c r="G193" s="96" t="str">
        <f>IF(FN_MC!D195="","*",FN_MC!D195)</f>
        <v>V80</v>
      </c>
      <c r="H193" s="96" t="str">
        <f>IF(FN_MC!F195="","*",FN_MC!F195)</f>
        <v>INSPEÇÃO RIV</v>
      </c>
      <c r="I193" s="96" t="str">
        <f>IF(FN_MC!H195="","*",FN_MC!H195)</f>
        <v>PAM</v>
      </c>
      <c r="J193" s="96" t="str">
        <f>IF(FN_MC!I195="","*",FN_MC!I195)</f>
        <v>PQI</v>
      </c>
      <c r="K193" s="96" t="str">
        <f>IF(FN_MC!M195="","*",FN_MC!M195)</f>
        <v>PAM-PQI</v>
      </c>
      <c r="L193" s="192" t="str">
        <f>IF(FN_MC!N195="","*",FN_MC!N195)</f>
        <v>PAMPQI</v>
      </c>
      <c r="M193" s="97">
        <f>IF(FN_MC!J195="","*",FN_MC!J195)</f>
        <v>103</v>
      </c>
      <c r="N193" s="179">
        <f>IF(FN_MC!K195="","*",FN_MC!K195)</f>
        <v>1935</v>
      </c>
      <c r="O193" s="179">
        <f>IF(FN_MC!L195="","*",FN_MC!L195)</f>
        <v>2029</v>
      </c>
      <c r="P193" s="107">
        <f>IF(FN_MC!O195="","*",FN_MC!O195)</f>
        <v>0.41666666666666669</v>
      </c>
      <c r="Q193" s="107">
        <f>IF(FN_MC!P195="","*",FN_MC!P195)</f>
        <v>4.1666666666666664E-2</v>
      </c>
      <c r="R193" s="96" t="str">
        <f>IF(FN_MC!Q195="","*",CONCATENATE(FN_MC!Q195," ",FN_MC!R195))</f>
        <v>1 BINÁRIO</v>
      </c>
      <c r="S193" s="96" t="str">
        <f>IF(FN_MC!V195="","*",FN_MC!V195)</f>
        <v>Fernanda</v>
      </c>
      <c r="T193" s="96" t="str">
        <f>IF(FN_MC!W195="","*",FN_MC!W195)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1674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1675</v>
      </c>
      <c r="C4" s="187" t="s">
        <v>1676</v>
      </c>
      <c r="D4" s="187" t="s">
        <v>1677</v>
      </c>
      <c r="E4" s="187" t="s">
        <v>1678</v>
      </c>
      <c r="F4" s="187" t="s">
        <v>366</v>
      </c>
      <c r="G4" s="187" t="s">
        <v>1679</v>
      </c>
    </row>
    <row r="5" spans="2:7">
      <c r="B5" s="188" t="s">
        <v>1680</v>
      </c>
      <c r="C5" s="188">
        <v>309525</v>
      </c>
      <c r="D5" s="188" t="s">
        <v>1681</v>
      </c>
      <c r="E5" s="188" t="s">
        <v>249</v>
      </c>
      <c r="F5" s="188" t="s">
        <v>1682</v>
      </c>
      <c r="G5" s="189">
        <v>46296</v>
      </c>
    </row>
    <row r="6" spans="2:7">
      <c r="B6" s="188" t="s">
        <v>1683</v>
      </c>
      <c r="C6" s="188">
        <v>257410</v>
      </c>
      <c r="D6" s="188" t="s">
        <v>1684</v>
      </c>
      <c r="E6" s="188" t="s">
        <v>249</v>
      </c>
      <c r="F6" s="188" t="s">
        <v>1682</v>
      </c>
      <c r="G6" s="189"/>
    </row>
    <row r="7" spans="2:7">
      <c r="B7" s="188" t="s">
        <v>1484</v>
      </c>
      <c r="C7" s="188">
        <v>256875</v>
      </c>
      <c r="D7" s="188" t="s">
        <v>1685</v>
      </c>
      <c r="E7" s="188" t="s">
        <v>249</v>
      </c>
      <c r="F7" s="188" t="s">
        <v>1682</v>
      </c>
      <c r="G7" s="189">
        <v>46296</v>
      </c>
    </row>
    <row r="8" spans="2:7">
      <c r="B8" s="188" t="s">
        <v>1686</v>
      </c>
      <c r="C8" s="188">
        <v>257278</v>
      </c>
      <c r="D8" s="188" t="s">
        <v>1687</v>
      </c>
      <c r="E8" s="188" t="s">
        <v>240</v>
      </c>
      <c r="F8" s="188" t="s">
        <v>1688</v>
      </c>
      <c r="G8" s="189">
        <v>46235</v>
      </c>
    </row>
    <row r="9" spans="2:7">
      <c r="B9" s="188" t="s">
        <v>1689</v>
      </c>
      <c r="C9" s="188">
        <v>261794</v>
      </c>
      <c r="D9" s="188" t="s">
        <v>1690</v>
      </c>
      <c r="E9" s="188" t="s">
        <v>240</v>
      </c>
      <c r="F9" s="188" t="s">
        <v>1688</v>
      </c>
      <c r="G9" s="189">
        <v>46082</v>
      </c>
    </row>
    <row r="10" spans="2:7">
      <c r="B10" s="188" t="s">
        <v>1691</v>
      </c>
      <c r="C10" s="188">
        <v>257033</v>
      </c>
      <c r="D10" s="188" t="s">
        <v>1692</v>
      </c>
      <c r="E10" s="188" t="s">
        <v>240</v>
      </c>
      <c r="F10" s="188" t="s">
        <v>480</v>
      </c>
      <c r="G10" s="188" t="s">
        <v>1693</v>
      </c>
    </row>
    <row r="11" spans="2:7">
      <c r="B11" s="188" t="s">
        <v>1694</v>
      </c>
      <c r="C11" s="188">
        <v>396578</v>
      </c>
      <c r="D11" s="188" t="s">
        <v>1695</v>
      </c>
      <c r="E11" s="188" t="s">
        <v>240</v>
      </c>
      <c r="F11" s="188" t="s">
        <v>480</v>
      </c>
      <c r="G11" s="188" t="s">
        <v>1693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1696</v>
      </c>
      <c r="D5" s="288"/>
      <c r="E5" s="288"/>
      <c r="F5" s="288"/>
      <c r="G5" s="288"/>
      <c r="H5" s="288"/>
      <c r="I5" s="288"/>
      <c r="J5" s="289"/>
      <c r="K5" s="290" t="s">
        <v>1697</v>
      </c>
      <c r="L5" s="291"/>
      <c r="M5" s="291"/>
      <c r="N5" s="291"/>
      <c r="O5" s="292" t="s">
        <v>1698</v>
      </c>
      <c r="P5" s="293"/>
      <c r="Q5" s="294"/>
    </row>
    <row r="6" spans="1:17" s="81" customFormat="1" ht="15.75" customHeight="1">
      <c r="A6" s="75" t="s">
        <v>1672</v>
      </c>
      <c r="B6" s="82" t="s">
        <v>1671</v>
      </c>
      <c r="C6" s="83" t="s">
        <v>1212</v>
      </c>
      <c r="D6" s="84" t="s">
        <v>1213</v>
      </c>
      <c r="E6" s="83" t="s">
        <v>1699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1700</v>
      </c>
      <c r="M6" s="116" t="s">
        <v>29</v>
      </c>
      <c r="N6" s="117" t="s">
        <v>1207</v>
      </c>
      <c r="O6" s="161" t="s">
        <v>1250</v>
      </c>
      <c r="P6" s="128"/>
      <c r="Q6" s="138" t="s">
        <v>1701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TBS-TAL</v>
      </c>
      <c r="H212" s="125">
        <f>IF(FN_MC!K183="","*",FN_MC!K183)</f>
        <v>661.84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TBS-TAL</v>
      </c>
      <c r="M212" s="118">
        <f>IF(FN_MC!AP183="","*",FN_MC!AP183)</f>
        <v>661.84</v>
      </c>
      <c r="N212" s="118" t="str">
        <f>IF(FN_MC!AM183="","*",FN_MC!AM183)</f>
        <v>TBS-TAL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444.66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444.66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Oportunidade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6.25E-2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237.6</v>
      </c>
      <c r="I217" s="110">
        <f>IF(FN_MC!O188="","*",FN_MC!O188)</f>
        <v>0.35416666666666669</v>
      </c>
      <c r="J217" s="110">
        <f>IF(FN_MC!P188="","*",FN_MC!P188)</f>
        <v>6.25E-2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237.6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TIN2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8.3333333333333329E-2</v>
      </c>
      <c r="K218" s="118" t="str">
        <f>IF(FN_MC!AK189="","*",FN_MC!AK189)</f>
        <v>TIN2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W48</v>
      </c>
      <c r="F219" s="87" t="str">
        <f>IF(FN_MC!H190="","*",FN_MC!H190)</f>
        <v>TIN2</v>
      </c>
      <c r="G219" s="87" t="str">
        <f>IF(FN_MC!M190="","*",FN_MC!M190)</f>
        <v>TIN</v>
      </c>
      <c r="H219" s="125">
        <f>IF(FN_MC!K190="","*",FN_MC!K190)</f>
        <v>108.19499999999999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TIN2</v>
      </c>
      <c r="L219" s="118" t="str">
        <f>IF(FN_MC!AM190="","*",FN_MC!AM190)</f>
        <v>TIN</v>
      </c>
      <c r="M219" s="118">
        <f>IF(FN_MC!AP190="","*",FN_MC!AP190)</f>
        <v>108.19499999999999</v>
      </c>
      <c r="N219" s="118" t="str">
        <f>IF(FN_MC!AM190="","*",FN_MC!AM190)</f>
        <v>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>
        <f>IF(FN_MC!B191="","*",FN_MC!B191)</f>
        <v>46071</v>
      </c>
      <c r="B220" s="86" t="str">
        <f>IF(FN_MC!X191="","*",FN_MC!X191)</f>
        <v>Oportunidade</v>
      </c>
      <c r="C220" s="87" t="str">
        <f>IF(FN_MC!S191="","*",FN_MC!S191)</f>
        <v>FERRONORTE</v>
      </c>
      <c r="D220" s="87" t="str">
        <f>IF(FN_MC!T191="","*",FN_MC!T191)</f>
        <v>TMI-TCS</v>
      </c>
      <c r="E220" s="87" t="str">
        <f>IF(FN_MC!D191="","*",FN_MC!D191)</f>
        <v>MARCOS (TF-520)</v>
      </c>
      <c r="F220" s="87" t="str">
        <f>IF(FN_MC!H191="","*",FN_MC!H191)</f>
        <v>K52TQI</v>
      </c>
      <c r="G220" s="87" t="str">
        <f>IF(FN_MC!M191="","*",FN_MC!M191)</f>
        <v>TSP-TIN</v>
      </c>
      <c r="H220" s="125">
        <f>IF(FN_MC!K191="","*",FN_MC!K191)</f>
        <v>97.62</v>
      </c>
      <c r="I220" s="110">
        <f>IF(FN_MC!O191="","*",FN_MC!O191)</f>
        <v>0.375</v>
      </c>
      <c r="J220" s="110">
        <f>IF(FN_MC!P191="","*",FN_MC!P191)</f>
        <v>6.25E-2</v>
      </c>
      <c r="K220" s="118" t="str">
        <f>IF(FN_MC!AK191="","*",FN_MC!AK191)</f>
        <v>K52TQI</v>
      </c>
      <c r="L220" s="118" t="str">
        <f>IF(FN_MC!AM191="","*",FN_MC!AM191)</f>
        <v>TSP-TIN</v>
      </c>
      <c r="M220" s="118">
        <f>IF(FN_MC!AP191="","*",FN_MC!AP191)</f>
        <v>97.62</v>
      </c>
      <c r="N220" s="118" t="str">
        <f>IF(FN_MC!AM191="","*",FN_MC!AM191)</f>
        <v>TSP-TIN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>
        <f>IF(FN_MC!B192="","*",FN_MC!B192)</f>
        <v>46071</v>
      </c>
      <c r="B221" s="86" t="str">
        <f>IF(FN_MC!X192="","*",FN_MC!X192)</f>
        <v>Oportunidade</v>
      </c>
      <c r="C221" s="87" t="str">
        <f>IF(FN_MC!S192="","*",FN_MC!S192)</f>
        <v>MALHA CENTRAL</v>
      </c>
      <c r="D221" s="87" t="str">
        <f>IF(FN_MC!T192="","*",FN_MC!T192)</f>
        <v>RAMAL</v>
      </c>
      <c r="E221" s="87" t="str">
        <f>IF(FN_MC!D192="","*",FN_MC!D192)</f>
        <v>E18</v>
      </c>
      <c r="F221" s="87" t="str">
        <f>IF(FN_MC!H192="","*",FN_MC!H192)</f>
        <v>ZIQZQY</v>
      </c>
      <c r="G221" s="87" t="str">
        <f>IF(FN_MC!M192="","*",FN_MC!M192)</f>
        <v>ZIQ-ZQY</v>
      </c>
      <c r="H221" s="125">
        <f>IF(FN_MC!K192="","*",FN_MC!K192)</f>
        <v>176</v>
      </c>
      <c r="I221" s="110">
        <f>IF(FN_MC!O192="","*",FN_MC!O192)</f>
        <v>0.35416666666666669</v>
      </c>
      <c r="J221" s="110">
        <f>IF(FN_MC!P192="","*",FN_MC!P192)</f>
        <v>0.125</v>
      </c>
      <c r="K221" s="118" t="str">
        <f>IF(FN_MC!AK192="","*",FN_MC!AK192)</f>
        <v>ZIQZQY</v>
      </c>
      <c r="L221" s="118" t="str">
        <f>IF(FN_MC!AM192="","*",FN_MC!AM192)</f>
        <v>ZIQ-ZQY</v>
      </c>
      <c r="M221" s="118">
        <f>IF(FN_MC!AP192="","*",FN_MC!AP192)</f>
        <v>176</v>
      </c>
      <c r="N221" s="118" t="str">
        <f>IF(FN_MC!AM192="","*",FN_MC!AM192)</f>
        <v>ZIQ-ZQY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>
        <f>IF(FN_MC!B194="","*",FN_MC!B194)</f>
        <v>46071</v>
      </c>
      <c r="B223" s="86" t="str">
        <f>IF(FN_MC!X194="","*",FN_MC!X194)</f>
        <v>Oportunidade</v>
      </c>
      <c r="C223" s="87" t="str">
        <f>IF(FN_MC!S194="","*",FN_MC!S194)</f>
        <v>MALHA CENTRAL</v>
      </c>
      <c r="D223" s="87" t="str">
        <f>IF(FN_MC!T194="","*",FN_MC!T194)</f>
        <v>POV-PRV</v>
      </c>
      <c r="E223" s="87" t="str">
        <f>IF(FN_MC!D194="","*",FN_MC!D194)</f>
        <v>E14</v>
      </c>
      <c r="F223" s="87" t="str">
        <f>IF(FN_MC!H194="","*",FN_MC!H194)</f>
        <v>PSG2</v>
      </c>
      <c r="G223" s="87" t="str">
        <f>IF(FN_MC!M194="","*",FN_MC!M194)</f>
        <v>PSG-PSO</v>
      </c>
      <c r="H223" s="125">
        <f>IF(FN_MC!K194="","*",FN_MC!K194)</f>
        <v>1806</v>
      </c>
      <c r="I223" s="110">
        <f>IF(FN_MC!O194="","*",FN_MC!O194)</f>
        <v>0.99930555555555556</v>
      </c>
      <c r="J223" s="110">
        <f>IF(FN_MC!P194="","*",FN_MC!P194)</f>
        <v>4.1666666666666664E-2</v>
      </c>
      <c r="K223" s="118" t="str">
        <f>IF(FN_MC!AK194="","*",FN_MC!AK194)</f>
        <v>PSG2</v>
      </c>
      <c r="L223" s="118" t="str">
        <f>IF(FN_MC!AM194="","*",FN_MC!AM194)</f>
        <v>PSG-PSO</v>
      </c>
      <c r="M223" s="118">
        <f>IF(FN_MC!AP194="","*",FN_MC!AP194)</f>
        <v>1806</v>
      </c>
      <c r="N223" s="118" t="str">
        <f>IF(FN_MC!AM194="","*",FN_MC!AM194)</f>
        <v>PSG-PSO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>
        <f>IF(FN_MC!B195="","*",FN_MC!B195)</f>
        <v>46071</v>
      </c>
      <c r="B224" s="86" t="str">
        <f>IF(FN_MC!X195="","*",FN_MC!X195)</f>
        <v>Oportunidade</v>
      </c>
      <c r="C224" s="87" t="str">
        <f>IF(FN_MC!S195="","*",FN_MC!S195)</f>
        <v>MALHA CENTRAL</v>
      </c>
      <c r="D224" s="87" t="str">
        <f>IF(FN_MC!T195="","*",FN_MC!T195)</f>
        <v>PRV-POV</v>
      </c>
      <c r="E224" s="87" t="str">
        <f>IF(FN_MC!D195="","*",FN_MC!D195)</f>
        <v>V80</v>
      </c>
      <c r="F224" s="87" t="str">
        <f>IF(FN_MC!H195="","*",FN_MC!H195)</f>
        <v>PAM</v>
      </c>
      <c r="G224" s="87" t="str">
        <f>IF(FN_MC!M195="","*",FN_MC!M195)</f>
        <v>PAM-PQI</v>
      </c>
      <c r="H224" s="125">
        <f>IF(FN_MC!K195="","*",FN_MC!K195)</f>
        <v>1935</v>
      </c>
      <c r="I224" s="110">
        <f>IF(FN_MC!O195="","*",FN_MC!O195)</f>
        <v>0.41666666666666669</v>
      </c>
      <c r="J224" s="110">
        <f>IF(FN_MC!P195="","*",FN_MC!P195)</f>
        <v>4.1666666666666664E-2</v>
      </c>
      <c r="K224" s="118" t="str">
        <f>IF(FN_MC!AK195="","*",FN_MC!AK195)</f>
        <v>PAM</v>
      </c>
      <c r="L224" s="118" t="str">
        <f>IF(FN_MC!AM195="","*",FN_MC!AM195)</f>
        <v>PAM-PQI</v>
      </c>
      <c r="M224" s="118">
        <f>IF(FN_MC!AP195="","*",FN_MC!AP195)</f>
        <v>1935</v>
      </c>
      <c r="N224" s="118" t="str">
        <f>IF(FN_MC!AM195="","*",FN_MC!AM195)</f>
        <v>PAM-PQI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2026-02-17T20:15:50Z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