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97" documentId="8_{B6337239-1A00-434D-AAD0-422EA1FEB5AE}" xr6:coauthVersionLast="47" xr6:coauthVersionMax="47" xr10:uidLastSave="{3D60ABB9-3C31-4C1A-B9DA-4CF05A02983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7" i="1" l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5" i="1" l="1"/>
  <c r="AJ357" i="1"/>
  <c r="AJ354" i="1"/>
  <c r="AJ355" i="1"/>
  <c r="AJ337" i="1"/>
  <c r="AJ358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<sst xmlns="http://schemas.openxmlformats.org/spreadsheetml/2006/main" count="9463" uniqueCount="1926">
  <si>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</si>
  <si>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</si>
  <si>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</si>
  <si>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</si>
  <si>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</si>
  <si>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</si>
  <si>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</si>
  <si>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</si>
  <si>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</si>
  <si>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</si>
  <si>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</si>
  <si>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</si>
  <si>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</si>
  <si>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</si>
  <si>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</si>
  <si>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</si>
  <si>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</si>
  <si>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</si>
  <si>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</si>
  <si>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</si>
  <si>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</si>
  <si>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</si>
  <si>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</si>
  <si>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</si>
  <si>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</si>
  <si>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</si>
  <si>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</si>
  <si>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</si>
  <si>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</si>
  <si>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</si>
  <si>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</si>
  <si>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</si>
  <si>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</si>
  <si>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</si>
  <si>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</si>
  <si>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</si>
  <si>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</si>
  <si>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</si>
  <si>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</si>
  <si>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</si>
  <si>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</si>
  <si>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</si>
  <si>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</si>
  <si>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</si>
  <si>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</si>
  <si>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</si>
  <si>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</si>
  <si>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</si>
  <si>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</si>
  <si>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</si>
  <si>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</si>
  <si>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</si>
  <si>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</si>
  <si>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</si>
  <si>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</si>
  <si>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</si>
  <si>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</si>
  <si>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</si>
  <si>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</si>
  <si>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</si>
  <si>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</si>
  <si>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</si>
  <si>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</si>
  <si>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</si>
  <si>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</si>
  <si>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</si>
  <si>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</si>
  <si>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</si>
  <si>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</si>
  <si>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</si>
  <si>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</si>
  <si>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</si>
  <si>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</si>
  <si>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</si>
  <si>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</si>
  <si>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</si>
  <si>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</si>
  <si>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</si>
  <si>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</si>
  <si>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</si>
  <si>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</si>
  <si>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</si>
  <si>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</si>
  <si>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</si>
  <si>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</si>
  <si>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</si>
  <si>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</si>
  <si>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</si>
  <si>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</si>
  <si>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</si>
  <si>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</si>
  <si>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</si>
  <si>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</si>
  <si>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</si>
  <si>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</si>
  <si>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</si>
  <si>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</si>
  <si>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</si>
  <si>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</si>
  <si>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</si>
  <si>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</si>
  <si>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</si>
  <si>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</si>
  <si>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</si>
  <si>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</si>
  <si>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</si>
  <si>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</si>
  <si>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</si>
  <si>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</si>
  <si>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</si>
  <si>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</si>
  <si>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</si>
  <si>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</si>
  <si>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</si>
  <si>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</si>
  <si>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</si>
  <si>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</si>
  <si>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</si>
  <si>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</si>
  <si>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</si>
  <si>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</si>
  <si>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</si>
  <si>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</si>
  <si>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</si>
  <si>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</si>
  <si>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</si>
  <si>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</si>
  <si>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</si>
  <si>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</si>
  <si>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</si>
  <si>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</si>
  <si>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</si>
  <si>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</si>
  <si>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</si>
  <si>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</si>
  <si>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</si>
  <si>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</si>
  <si>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</si>
  <si>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</si>
  <si>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</si>
  <si>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</si>
  <si>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</si>
  <si>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</si>
  <si>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</si>
  <si>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</si>
  <si>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</si>
  <si>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</si>
  <si>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</si>
  <si>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</si>
  <si>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</si>
  <si>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</si>
  <si>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</si>
  <si>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</si>
  <si>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</si>
  <si>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</si>
  <si>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</si>
  <si>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</si>
  <si>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</si>
  <si>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</si>
  <si>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</si>
  <si>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</si>
  <si>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</si>
  <si>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</si>
  <si>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</si>
  <si>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</si>
  <si>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</si>
  <si>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</si>
  <si>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</si>
  <si>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</si>
  <si>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</si>
  <si>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</si>
  <si>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</si>
  <si>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</si>
  <si>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</si>
  <si>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</si>
  <si>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</si>
  <si>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</si>
  <si>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</si>
  <si>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</si>
  <si>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</si>
  <si>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</si>
  <si>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</si>
  <si>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</si>
  <si>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</si>
  <si>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</si>
  <si>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</si>
  <si>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</si>
  <si>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</si>
  <si>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</si>
  <si>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</si>
  <si>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</si>
  <si>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</si>
  <si>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</si>
  <si>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</si>
  <si>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</si>
  <si>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</si>
  <si>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</si>
  <si>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</si>
  <si>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</si>
  <si>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</si>
  <si>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</si>
  <si>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</si>
  <si>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</si>
  <si>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</si>
  <si>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</si>
  <si>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</si>
  <si>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</si>
  <si>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</si>
  <si>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</si>
  <si>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</si>
  <si>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</si>
  <si>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</si>
  <si>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</si>
  <si>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</si>
  <si>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</si>
  <si>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</si>
  <si>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</si>
  <si>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</si>
  <si>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</si>
  <si>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</si>
  <si>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</si>
  <si>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</si>
  <si>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</si>
  <si>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</si>
  <si>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</si>
  <si>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</si>
  <si>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</si>
  <si>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</si>
  <si>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</si>
  <si>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</si>
  <si>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</si>
  <si>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</si>
  <si>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</si>
  <si>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</si>
  <si>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</si>
  <si>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</si>
  <si>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</si>
  <si>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</si>
  <si>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</si>
  <si>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</si>
  <si>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</si>
  <si>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</si>
  <si>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</si>
  <si>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</si>
  <si>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</si>
  <si>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</si>
  <si>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</si>
  <si>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</si>
  <si>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</si>
  <si>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</si>
  <si>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</si>
  <si>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</si>
  <si>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</si>
  <si>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</si>
  <si>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</si>
  <si>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</si>
  <si>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</si>
  <si>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</si>
  <si>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</si>
  <si>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</si>
  <si>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</si>
  <si>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</si>
  <si>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</si>
  <si>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</si>
  <si>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</si>
  <si>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</si>
  <si>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</si>
  <si>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</si>
  <si>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</si>
  <si>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</si>
  <si>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</si>
  <si>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</si>
  <si>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</si>
  <si>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</si>
  <si>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</si>
  <si>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</si>
  <si>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</si>
  <si>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</si>
  <si>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</si>
  <si>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</si>
  <si>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</si>
  <si>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</si>
  <si>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</si>
  <si>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</si>
  <si>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</si>
  <si>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</si>
  <si>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</si>
  <si>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</si>
  <si>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</si>
  <si>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</si>
  <si>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</si>
  <si>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</si>
  <si>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</si>
  <si>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</si>
  <si>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</si>
  <si>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</si>
  <si>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</si>
  <si>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</si>
  <si>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</si>
  <si>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</si>
  <si>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</si>
  <si>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</si>
  <si>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</si>
  <si>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</si>
  <si>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</si>
  <si>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</si>
  <si>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</si>
  <si>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</si>
  <si>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</si>
  <si>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</si>
  <si>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</si>
  <si>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</si>
  <si>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</si>
  <si>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</si>
  <si>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</si>
  <si>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</si>
  <si>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</si>
  <si>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</si>
  <si>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</si>
  <si>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</si>
  <si>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</si>
  <si>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</si>
  <si>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</si>
  <si>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</si>
  <si>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</si>
  <si>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</si>
  <si>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</si>
  <si>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</si>
  <si>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</si>
  <si>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</si>
  <si>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</si>
  <si>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</si>
  <si>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</si>
  <si>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</si>
  <si>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</si>
  <si>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</si>
  <si>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</si>
  <si>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</si>
  <si>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</si>
  <si>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</si>
  <si>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</si>
  <si>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</si>
  <si>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</si>
  <si>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</si>
  <si>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</si>
  <si>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</si>
  <si>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</si>
  <si>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</si>
  <si>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</si>
  <si>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</si>
  <si>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</si>
  <si>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</si>
  <si>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</si>
  <si>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</si>
  <si>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</si>
  <si>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</si>
  <si>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</si>
  <si>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</si>
  <si>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</si>
  <si>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</si>
  <si>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</si>
  <si>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</si>
  <si>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</si>
  <si>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</si>
  <si>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</si>
  <si>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</si>
  <si>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</si>
  <si>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</si>
  <si>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</si>
  <si>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</si>
  <si>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</si>
  <si>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</si>
  <si>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</si>
  <si>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</si>
  <si>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</si>
  <si>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</si>
  <si>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</si>
  <si>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</si>
  <si>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</si>
  <si>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</si>
  <si>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</si>
  <si>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</si>
  <si>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</si>
  <si>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</si>
  <si>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</si>
  <si>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</si>
  <si>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</si>
  <si>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</si>
  <si>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</si>
  <si>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</si>
  <si>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</si>
  <si>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</si>
  <si>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</si>
  <si>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</si>
  <si>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</si>
  <si>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</si>
  <si>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</si>
  <si>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</si>
  <si>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</si>
  <si>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</si>
  <si>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</si>
  <si>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</si>
  <si>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</si>
  <si>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</si>
  <si>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</si>
  <si>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</si>
  <si>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</si>
  <si>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</si>
  <si>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</si>
  <si>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</si>
  <si>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</si>
  <si>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</si>
  <si>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</si>
  <si>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</si>
  <si>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</si>
  <si>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</si>
  <si>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</si>
  <si>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</si>
  <si>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</si>
  <si>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</si>
  <si>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</si>
  <si>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</si>
  <si>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</si>
  <si>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</si>
  <si>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</si>
  <si>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</si>
  <si>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</si>
  <si>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</si>
  <si>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</si>
  <si>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</si>
  <si>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</si>
  <si>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</si>
  <si>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</si>
  <si>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</si>
  <si>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</si>
  <si>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</si>
  <si>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</si>
  <si>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</si>
  <si>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</si>
  <si>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</si>
  <si>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</si>
  <si>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</si>
  <si>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</si>
  <si>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</si>
  <si>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</si>
  <si>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</si>
  <si>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</si>
  <si>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</si>
  <si>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</si>
  <si>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</si>
  <si>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</si>
  <si>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</si>
  <si>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</si>
  <si>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</si>
  <si>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</si>
  <si>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</si>
  <si>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</si>
  <si>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</si>
  <si>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</si>
  <si>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</si>
  <si>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</si>
  <si>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</si>
  <si>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</si>
  <si>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</si>
  <si>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</si>
  <si>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</si>
  <si>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</si>
  <si>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</si>
  <si>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</si>
  <si>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</si>
  <si>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</si>
  <si>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</si>
  <si>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</si>
  <si>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</si>
  <si>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</si>
  <si>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</si>
  <si>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</si>
  <si>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</si>
  <si>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</si>
  <si>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</si>
  <si>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</si>
  <si>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</si>
  <si>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</si>
  <si>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</si>
  <si>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</si>
  <si>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</si>
  <si>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</si>
  <si>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</si>
  <si>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</si>
  <si>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</si>
  <si>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</si>
  <si>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</si>
  <si>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</si>
  <si>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</si>
  <si>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</si>
  <si>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</si>
  <si>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</si>
  <si>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</si>
  <si>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</si>
  <si>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</si>
  <si>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</si>
  <si>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</si>
  <si>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</si>
  <si>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</si>
  <si>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</si>
  <si>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</si>
  <si>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</si>
  <si>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</si>
  <si>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</si>
  <si>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</si>
  <si>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</si>
  <si>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</si>
  <si>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</si>
  <si>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</si>
  <si>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</si>
  <si>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</si>
  <si>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</si>
  <si>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</si>
  <si>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</si>
  <si>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</si>
  <si>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</si>
  <si>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</si>
  <si>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</si>
  <si>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</si>
  <si>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</si>
  <si>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</si>
  <si>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</si>
  <si>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</si>
  <si>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</si>
  <si>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</si>
  <si>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</si>
  <si>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</si>
  <si>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</si>
  <si>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</si>
  <si>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</si>
  <si>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</si>
  <si>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</si>
  <si>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</si>
  <si>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</si>
  <si>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</si>
  <si>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</si>
  <si>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</si>
  <si>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</si>
  <si>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</si>
  <si>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</si>
  <si>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</si>
  <si>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</si>
  <si>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</si>
  <si>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</si>
  <si>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</si>
  <si>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</si>
  <si>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</si>
  <si>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</si>
  <si>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</si>
  <si>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</si>
  <si>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</si>
  <si>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</si>
  <si>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</si>
  <si>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</si>
  <si>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</si>
  <si>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</si>
  <si>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</si>
  <si>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</si>
  <si>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</si>
  <si>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</si>
  <si>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</si>
  <si>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</si>
  <si>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</si>
  <si>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</si>
  <si>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</si>
  <si>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</si>
  <si>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</si>
  <si>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</si>
  <si>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</si>
  <si>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</si>
  <si>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</si>
  <si>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</si>
  <si>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</si>
  <si>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</si>
  <si>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</si>
  <si>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</si>
  <si>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</si>
  <si>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</si>
  <si>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</si>
  <si>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</si>
  <si>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</si>
  <si>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</si>
  <si>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</si>
  <si>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</si>
  <si>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</si>
  <si>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</si>
  <si>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</si>
  <si>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</si>
  <si>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</si>
  <si>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</si>
  <si>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</si>
  <si>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</si>
  <si>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</si>
  <si>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</si>
  <si>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</si>
  <si>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</si>
  <si>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</si>
  <si>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</si>
  <si>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</si>
  <si>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</si>
  <si>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</si>
  <si>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</si>
  <si>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</si>
  <si>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</si>
  <si>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</si>
  <si>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</si>
  <si>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</si>
  <si>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</si>
  <si>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</si>
  <si>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</si>
  <si>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</si>
  <si>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</si>
  <si>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</si>
  <si>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</si>
  <si>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</si>
  <si>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</si>
  <si>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</si>
  <si>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</si>
  <si>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</si>
  <si>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</si>
  <si>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</si>
  <si>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</si>
  <si>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</si>
  <si>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</si>
  <si>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</si>
  <si>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</si>
  <si>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</si>
  <si>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</si>
  <si>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</si>
  <si>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</si>
  <si>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</si>
  <si>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</si>
  <si>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</si>
  <si>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</si>
  <si>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</si>
  <si>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</si>
  <si>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</si>
  <si>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</si>
  <si>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</si>
  <si>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</si>
  <si>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</si>
  <si>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</si>
  <si>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</si>
  <si>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</si>
  <si>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</si>
  <si>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</si>
  <si>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</si>
  <si>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</si>
  <si>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</si>
  <si>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</si>
  <si>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</si>
  <si>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</si>
  <si>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</si>
  <si>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</si>
  <si>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</si>
  <si>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</si>
  <si>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</si>
  <si>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</si>
  <si>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</si>
  <si>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</si>
  <si>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</si>
  <si>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</si>
  <si>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</si>
  <si>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</si>
  <si>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</si>
  <si>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</si>
  <si>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</si>
  <si>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</si>
  <si>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</si>
  <si>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</si>
  <si>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</si>
  <si>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</si>
  <si>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</si>
  <si>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</si>
  <si>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</si>
  <si>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</si>
  <si>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</si>
  <si>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</si>
  <si>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</si>
  <si>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</si>
  <si>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</si>
  <si>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</si>
  <si>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</si>
  <si>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</si>
  <si>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</si>
  <si>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</si>
  <si>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</si>
  <si>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</si>
  <si>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</si>
  <si>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</si>
  <si>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</si>
  <si>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</si>
  <si>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</si>
  <si>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</si>
  <si>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</si>
  <si>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</si>
  <si>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</si>
  <si>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</si>
  <si>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</si>
  <si>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</si>
  <si>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</si>
  <si>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</si>
  <si>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</si>
  <si>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</si>
  <si>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</si>
  <si>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</si>
  <si>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</si>
  <si>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</si>
  <si>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</si>
  <si>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</si>
  <si>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</si>
  <si>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</si>
  <si>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</si>
  <si>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</si>
  <si>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</si>
  <si>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</si>
  <si>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</si>
  <si>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</si>
  <si>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</si>
  <si>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</si>
  <si>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</si>
  <si>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</si>
  <si>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</si>
  <si>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</si>
  <si>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</si>
  <si>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</si>
  <si>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</si>
  <si>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</si>
  <si>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</si>
  <si>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</si>
  <si>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</si>
  <si>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</si>
  <si>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</si>
  <si>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</si>
  <si>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</si>
  <si>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</si>
  <si>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</si>
  <si>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</si>
  <si>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</si>
  <si>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</si>
  <si>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</si>
  <si>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</si>
  <si>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</si>
  <si>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</si>
  <si>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</si>
  <si>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</si>
  <si>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</si>
  <si>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</si>
  <si>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</si>
  <si>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</si>
  <si>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</si>
  <si>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</si>
  <si>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</si>
  <si>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</si>
  <si>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</si>
  <si>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</si>
  <si>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</si>
  <si>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</si>
  <si>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</si>
  <si>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</si>
  <si>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</si>
  <si>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</si>
  <si>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</si>
  <si>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</si>
  <si>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</si>
  <si>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</si>
  <si>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</si>
  <si>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</si>
  <si>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</si>
  <si>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</si>
  <si>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</si>
  <si>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</si>
  <si>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</si>
  <si>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</si>
  <si>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</si>
  <si>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</si>
  <si>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</si>
  <si>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</si>
  <si>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</si>
  <si>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</si>
  <si>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</si>
  <si>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</si>
  <si>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</si>
  <si>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</si>
  <si>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</si>
  <si>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</si>
  <si>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</si>
  <si>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</si>
  <si>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</si>
  <si>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</si>
  <si>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</si>
  <si>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</si>
  <si>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</si>
  <si>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</si>
  <si>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</si>
  <si>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</si>
  <si>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</si>
  <si>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</si>
  <si>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</si>
  <si>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</si>
  <si>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</si>
  <si>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</si>
  <si>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</si>
  <si>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</si>
  <si>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</si>
  <si>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</si>
  <si>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</si>
  <si>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</si>
  <si>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</si>
  <si>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</si>
  <si>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</si>
  <si>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</si>
  <si>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</si>
  <si>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</si>
  <si>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</si>
  <si>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</si>
  <si>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</si>
  <si>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</si>
  <si>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</si>
  <si>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</si>
  <si>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</si>
  <si>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</si>
  <si>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</si>
  <si>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</si>
  <si>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</si>
  <si>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</si>
  <si>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</si>
  <si>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</si>
  <si>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</si>
  <si>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</si>
  <si>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</si>
  <si>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</si>
  <si>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</si>
  <si>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</si>
  <si>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</si>
  <si>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</si>
  <si>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</si>
  <si>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</si>
  <si>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</si>
  <si>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</si>
  <si>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</si>
  <si>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</si>
  <si>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</si>
  <si>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</si>
  <si>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</si>
  <si>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</si>
  <si>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</si>
  <si>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</si>
  <si>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</si>
  <si>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</si>
  <si>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</si>
  <si>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</si>
  <si>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</si>
  <si>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</si>
  <si>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</si>
  <si>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</si>
  <si>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</si>
  <si>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</si>
  <si>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</si>
  <si>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</si>
  <si>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</si>
  <si>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</si>
  <si>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</si>
  <si>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</si>
  <si>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</si>
  <si>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</si>
  <si>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</si>
  <si>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</si>
  <si>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</si>
  <si>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</si>
  <si>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</si>
  <si>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</si>
  <si>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</si>
  <si>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</si>
  <si>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</si>
  <si>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</si>
  <si>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</si>
  <si>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</si>
  <si>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</si>
  <si>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</si>
  <si>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</si>
  <si>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</si>
  <si>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</si>
  <si>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</si>
  <si>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</si>
  <si>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</si>
  <si>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</si>
  <si>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</si>
  <si>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</si>
  <si>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</si>
  <si>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</si>
  <si>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</si>
  <si>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</si>
  <si>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</si>
  <si>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</si>
  <si>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</si>
  <si>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</si>
  <si>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</si>
  <si>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</si>
  <si>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</si>
  <si>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</si>
  <si>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</si>
  <si>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</si>
  <si>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</si>
  <si>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</si>
  <si>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</si>
  <si>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</si>
  <si>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</si>
  <si>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</si>
  <si>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</si>
  <si>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</si>
  <si>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</si>
  <si>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</si>
  <si>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</si>
  <si>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</si>
  <si>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</si>
  <si>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</si>
  <si>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</si>
  <si>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</si>
  <si>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</si>
  <si>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</si>
  <si>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</si>
  <si>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</si>
  <si>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</si>
  <si>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</si>
  <si>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</si>
  <si>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</si>
  <si>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</si>
  <si>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</si>
  <si>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</si>
  <si>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</si>
  <si>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</si>
  <si>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</si>
  <si>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</si>
  <si>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</si>
  <si>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</si>
  <si>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</si>
  <si>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</si>
  <si>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</si>
  <si>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</si>
  <si>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</si>
  <si>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</si>
  <si>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</si>
  <si>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</si>
  <si>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</si>
  <si>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</si>
  <si>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</si>
  <si>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</si>
  <si>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</si>
  <si>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</si>
  <si>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</si>
  <si>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</si>
  <si>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</si>
  <si>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</si>
  <si>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</si>
  <si>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</si>
  <si>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</si>
  <si>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</si>
  <si>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</si>
  <si>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</si>
  <si>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</si>
  <si>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</si>
  <si>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</si>
  <si>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</si>
  <si>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</si>
  <si>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</si>
  <si>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</si>
  <si>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</si>
  <si>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</si>
  <si>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</si>
  <si>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</si>
  <si>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</si>
  <si>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</si>
  <si>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</si>
  <si>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</si>
  <si>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</si>
  <si>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</si>
  <si>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</si>
  <si>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</si>
  <si>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</si>
  <si>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</si>
  <si>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</si>
  <si>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</si>
  <si>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</si>
  <si>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</si>
  <si>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</si>
  <si>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</si>
  <si>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</si>
  <si>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</si>
  <si>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</si>
  <si>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</si>
  <si>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</si>
  <si>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</si>
  <si>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</si>
  <si>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</si>
  <si>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</si>
  <si>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</si>
  <si>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</si>
  <si>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</si>
  <si>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</si>
  <si>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</si>
  <si>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</si>
  <si>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</si>
  <si>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</si>
  <si>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</si>
  <si>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</si>
  <si>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</si>
  <si>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</si>
  <si>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</si>
  <si>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</si>
  <si>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</si>
  <si>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</si>
  <si>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</si>
  <si>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</si>
  <si>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</si>
  <si>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</si>
  <si>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</si>
  <si>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</si>
  <si>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</si>
  <si>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</si>
  <si>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</si>
  <si>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</si>
  <si>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</si>
  <si>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</si>
  <si>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</si>
  <si>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</si>
  <si>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</si>
  <si>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</si>
  <si>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</si>
  <si>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</si>
  <si>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</si>
  <si>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</si>
  <si>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</si>
  <si>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</si>
  <si>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</si>
  <si>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</si>
  <si>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</si>
  <si>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</si>
  <si>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</si>
  <si>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</si>
  <si>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</si>
  <si>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</si>
  <si>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</si>
  <si>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</si>
  <si>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</si>
  <si>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</si>
  <si>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</si>
  <si>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</si>
  <si>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</si>
  <si>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</si>
  <si>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</si>
  <si>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</si>
  <si>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</si>
  <si>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</si>
  <si>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</si>
  <si>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</si>
  <si>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</si>
  <si>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</si>
  <si>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</si>
  <si>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</si>
  <si>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</si>
  <si>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</si>
  <si>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</si>
  <si>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</si>
  <si>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</si>
  <si>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</si>
  <si>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</si>
  <si>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</si>
  <si>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</si>
  <si>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</si>
  <si>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</si>
  <si>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</si>
  <si>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</si>
  <si>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</si>
  <si>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</si>
  <si>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</si>
  <si>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</si>
  <si>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</si>
  <si>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</si>
  <si>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</si>
  <si>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</si>
  <si>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</si>
  <si>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</si>
  <si>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</si>
  <si>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</si>
  <si>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</si>
  <si>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</si>
  <si>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</si>
  <si>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</si>
  <si>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</si>
  <si>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</si>
  <si>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</si>
  <si>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</si>
  <si>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</si>
  <si>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</si>
  <si>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</si>
  <si>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</si>
  <si>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</si>
  <si>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</si>
  <si>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</si>
  <si>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</si>
  <si>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</si>
  <si>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</si>
  <si>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</si>
  <si>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</si>
  <si>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</si>
  <si>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</si>
  <si>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</si>
  <si>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</si>
  <si>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</si>
  <si>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</si>
  <si>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</si>
  <si>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</si>
  <si>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</si>
  <si>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</si>
  <si>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</si>
  <si>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</si>
  <si>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</si>
  <si>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</si>
  <si>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</si>
  <si>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</si>
  <si>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</si>
  <si>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</si>
  <si>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</si>
  <si>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</si>
  <si>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</si>
  <si>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</si>
  <si>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</si>
  <si>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</si>
  <si>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</si>
  <si>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</si>
  <si>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</si>
  <si>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</si>
  <si>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</si>
  <si>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</si>
  <si>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</si>
  <si>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</si>
  <si>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</si>
  <si>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</si>
  <si>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</si>
  <si>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</si>
  <si>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</si>
  <si>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</si>
  <si>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</si>
  <si>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</si>
  <si>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</si>
  <si>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</si>
  <si>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</si>
  <si>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</si>
  <si>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</si>
  <si>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</si>
  <si>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</si>
  <si>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</si>
  <si>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</si>
  <si>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</si>
  <si>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</si>
  <si>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</si>
  <si>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</si>
  <si>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</si>
  <si>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</si>
  <si>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</si>
  <si>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</si>
  <si>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</si>
  <si>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</si>
  <si>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</si>
  <si>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</si>
  <si>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</si>
  <si>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</si>
  <si>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</si>
  <si>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</si>
  <si>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</si>
  <si>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</si>
  <si>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</si>
  <si>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</si>
  <si>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</si>
  <si>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</si>
  <si>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</si>
  <si>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</si>
  <si>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</si>
  <si>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</si>
  <si>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</si>
  <si>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</si>
  <si>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</si>
  <si>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</si>
  <si>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</si>
  <si>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</si>
  <si>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</si>
  <si>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</si>
  <si>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</si>
  <si>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</si>
  <si>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</si>
  <si>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</si>
  <si>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</si>
  <si>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</si>
  <si>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</si>
  <si>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</si>
  <si>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</si>
  <si>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</si>
  <si>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</si>
  <si>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</si>
  <si>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</si>
  <si>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</si>
  <si>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</si>
  <si>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</si>
  <si>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</si>
  <si>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</si>
  <si>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</si>
  <si>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</si>
  <si>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</si>
  <si>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</si>
  <si>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</si>
  <si>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</si>
  <si>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</si>
  <si>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</si>
  <si>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</si>
  <si>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</si>
  <si>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</si>
  <si>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</si>
  <si>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</si>
  <si>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</si>
  <si>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</si>
  <si>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</si>
  <si>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</si>
  <si>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</si>
  <si>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</si>
  <si>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</si>
  <si>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</si>
  <si>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</si>
  <si>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</si>
  <si>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</si>
  <si>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</si>
  <si>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</si>
  <si>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</si>
  <si>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</si>
  <si>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</si>
  <si>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</si>
  <si>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</si>
  <si>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</si>
  <si>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</si>
  <si>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</si>
  <si>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</si>
  <si>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</si>
  <si>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</si>
  <si>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</si>
  <si>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</si>
  <si>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</si>
  <si>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</si>
  <si>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</si>
  <si>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</si>
  <si>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</si>
  <si>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</si>
  <si>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</si>
  <si>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</si>
  <si>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</si>
  <si>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</si>
  <si>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</si>
  <si>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</si>
  <si>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</si>
  <si>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</si>
  <si>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</si>
  <si>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</si>
  <si>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</si>
  <si>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</si>
  <si>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</si>
  <si>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</si>
  <si>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</si>
  <si>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</si>
  <si>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</si>
  <si>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</si>
  <si>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</si>
  <si>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</si>
  <si>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</si>
  <si>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</si>
  <si>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</si>
  <si>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</si>
  <si>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</si>
  <si>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</si>
  <si>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</si>
  <si>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</si>
  <si>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</si>
  <si>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</si>
  <si>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</si>
  <si>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</si>
  <si>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</si>
  <si>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</si>
  <si>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</si>
  <si>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</si>
  <si>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</si>
  <si>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</si>
  <si>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</si>
  <si>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</si>
  <si>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</si>
  <si>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</si>
  <si>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</si>
  <si>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</si>
  <si>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</si>
  <si>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</si>
  <si>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</si>
  <si>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</si>
  <si>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</si>
  <si>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</si>
  <si>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</si>
  <si>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</si>
  <si>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</si>
  <si>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</si>
  <si>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</si>
  <si>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</si>
  <si>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</si>
  <si>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</si>
  <si>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</si>
  <si>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</si>
  <si>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</si>
  <si>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</si>
  <si>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</si>
  <si>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</si>
  <si>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</si>
  <si>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</si>
  <si>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</si>
  <si>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</si>
  <si>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</si>
  <si>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</si>
  <si>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</si>
  <si>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</si>
  <si>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</si>
  <si>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</si>
  <si>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</si>
  <si>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</si>
  <si>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</si>
  <si>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</si>
  <si>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</si>
  <si>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</si>
  <si>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</si>
  <si>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</si>
  <si>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</si>
  <si>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</si>
  <si>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</si>
  <si>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</si>
  <si>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</si>
  <si>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</si>
  <si>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</si>
  <si>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</si>
  <si>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</si>
  <si>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</si>
  <si>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</si>
  <si>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</si>
  <si>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</si>
  <si>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</si>
  <si>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</si>
  <si>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</si>
  <si>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</si>
  <si>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</si>
  <si>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</si>
  <si>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</si>
  <si>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</si>
  <si>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</si>
  <si>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</si>
  <si>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</si>
  <si>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</si>
  <si>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</si>
  <si>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</si>
  <si>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</si>
  <si>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</si>
  <si>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</si>
  <si>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</si>
  <si>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</si>
  <si>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</si>
  <si>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</si>
  <si>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</si>
  <si>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</si>
  <si>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</si>
  <si>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</si>
  <si>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</si>
  <si>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</si>
  <si>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</si>
  <si>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</si>
  <si>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</si>
  <si>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</si>
  <si>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</si>
  <si>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</si>
  <si>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</si>
  <si>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</si>
  <si>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</si>
  <si>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</si>
  <si>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</si>
  <si>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</si>
  <si>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</si>
  <si>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</si>
  <si>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</si>
  <si>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</si>
  <si>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</si>
  <si>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</si>
  <si>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</si>
  <si>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</si>
  <si>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</si>
  <si>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</si>
  <si>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</si>
  <si>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</si>
  <si>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</si>
  <si>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</si>
  <si>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</si>
  <si>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</si>
  <si>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</si>
  <si>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</si>
  <si>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</si>
  <si>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</si>
  <si>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</si>
  <si>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</si>
  <si>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</si>
  <si>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</si>
  <si>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</si>
  <si>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</si>
  <si>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</si>
  <si>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</si>
  <si>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</si>
  <si>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</si>
  <si>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</si>
  <si>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</si>
  <si>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</si>
  <si>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</si>
  <si>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</si>
  <si>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</si>
  <si>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</si>
  <si>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</si>
  <si>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</si>
  <si>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</si>
  <si>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</si>
  <si>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</si>
  <si>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</si>
  <si>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</si>
  <si>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</si>
  <si>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</si>
  <si>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</si>
  <si>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</si>
  <si>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</si>
  <si>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</si>
  <si>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</si>
  <si>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</si>
  <si>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</si>
  <si>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</si>
  <si>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</si>
  <si>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</si>
  <si>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</si>
  <si>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</si>
  <si>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</si>
  <si>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</si>
  <si>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</si>
  <si>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</si>
  <si>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</si>
  <si>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</si>
  <si>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</si>
  <si>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</si>
  <si>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</si>
  <si>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</si>
  <si>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</si>
  <si>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</si>
  <si>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</si>
  <si>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</si>
  <si>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</si>
  <si>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</si>
  <si>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</si>
  <si>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</si>
  <si>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</si>
  <si>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</si>
  <si>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</si>
  <si>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</si>
  <si>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</si>
  <si>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</si>
  <si>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</si>
  <si>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</si>
  <si>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</si>
  <si>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</si>
  <si>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</si>
  <si>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</si>
  <si>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</si>
  <si>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</si>
  <si>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</si>
  <si>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</si>
  <si>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</si>
  <si>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</si>
  <si>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</si>
  <si>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</si>
  <si>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</si>
  <si>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</si>
  <si>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</si>
  <si>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</si>
  <si>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</si>
  <si>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</si>
  <si>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</si>
  <si>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</si>
  <si>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</si>
  <si>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</si>
  <si>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</si>
  <si>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</si>
  <si>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</si>
  <si>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</si>
  <si>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</si>
  <si>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</si>
  <si>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</si>
  <si>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</si>
  <si>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</si>
  <si>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</si>
  <si>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</si>
  <si>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</si>
  <si>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</si>
  <si>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</si>
  <si>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</si>
  <si>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</si>
  <si>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</si>
  <si>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</si>
  <si>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</si>
  <si>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</si>
  <si>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</si>
  <si>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</si>
  <si>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</si>
  <si>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</si>
  <si>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</si>
  <si>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</si>
  <si>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</si>
  <si>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</si>
  <si>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</si>
  <si>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</si>
  <si>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</si>
  <si>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</si>
  <si>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</si>
  <si>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</si>
  <si>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</si>
  <si>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</si>
  <si>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</si>
  <si>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</si>
  <si>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</si>
  <si>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</si>
  <si>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</si>
  <si>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</si>
  <si>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</si>
  <si>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</si>
  <si>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</si>
  <si>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</si>
  <si>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</si>
  <si>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</si>
  <si>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</si>
  <si>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</si>
  <si>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</si>
  <si>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</si>
  <si>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</si>
  <si>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</si>
  <si>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</si>
  <si>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</si>
  <si>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</si>
  <si>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</si>
  <si>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</si>
  <si>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</si>
  <si>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</si>
  <si>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</si>
  <si>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</si>
  <si>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</si>
  <si>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</si>
  <si>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</si>
  <si>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</si>
  <si>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</si>
  <si>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</si>
  <si>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</si>
  <si>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</si>
  <si>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</si>
  <si>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</si>
  <si>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</si>
  <si>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</si>
  <si>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</si>
  <si>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</si>
  <si>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</si>
  <si>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</si>
  <si>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</si>
  <si>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</si>
  <si>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</si>
  <si>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</si>
  <si>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</si>
  <si>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</si>
  <si>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</si>
  <si>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</si>
  <si>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</si>
  <si>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</si>
  <si>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</si>
  <si>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</si>
  <si>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</si>
  <si>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</si>
  <si>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</si>
  <si>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</si>
  <si>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</si>
  <si>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</si>
  <si>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</si>
  <si>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</si>
  <si>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</si>
  <si>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</si>
  <si>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</si>
  <si>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</si>
  <si>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</si>
  <si>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</si>
  <si>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</si>
  <si>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</si>
  <si>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</si>
  <si>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</si>
  <si>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</si>
  <si>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</si>
  <si>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</si>
  <si>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</si>
  <si>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</si>
  <si>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</si>
  <si>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</si>
  <si>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</si>
  <si>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</si>
  <si>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</si>
  <si>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</si>
  <si>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</si>
  <si>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</si>
  <si>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</si>
  <si>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</si>
  <si>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</si>
  <si>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</si>
  <si>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</si>
  <si>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</si>
  <si>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</si>
  <si>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</si>
  <si>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</si>
  <si>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</si>
  <si>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</si>
  <si>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</si>
  <si>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</si>
  <si>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</si>
  <si>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</si>
  <si>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</si>
  <si>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</si>
  <si>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</si>
  <si>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</si>
  <si>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</si>
  <si>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</si>
  <si>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</si>
  <si>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</si>
  <si>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</si>
  <si>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</si>
  <si>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</si>
  <si>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</si>
  <si>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</si>
  <si>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</si>
  <si>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</si>
  <si>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</si>
  <si>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</si>
  <si>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</si>
  <si>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</si>
  <si>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</si>
  <si>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</si>
  <si>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</si>
  <si>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</si>
  <si>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</si>
  <si>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</si>
  <si>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</si>
  <si>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</si>
  <si>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</si>
  <si>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</si>
  <si>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</si>
  <si>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</si>
  <si>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</si>
  <si>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</si>
  <si>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</si>
  <si>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</si>
  <si>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</si>
  <si>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</si>
  <si>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</si>
  <si>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</si>
  <si>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</si>
  <si>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</si>
  <si>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</si>
  <si>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</si>
  <si>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</si>
  <si>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</si>
  <si>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</si>
  <si>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</si>
  <si>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</si>
  <si>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</si>
  <si>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</si>
  <si>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</si>
  <si>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</si>
  <si>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</si>
  <si>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</si>
  <si>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</si>
  <si>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</si>
  <si>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</si>
  <si>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</si>
  <si>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</si>
  <si>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</si>
  <si>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</si>
  <si>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</si>
  <si>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</si>
  <si>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</si>
  <si>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</si>
  <si>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</si>
  <si>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</si>
  <si>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</si>
  <si>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</si>
  <si>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</si>
  <si>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</si>
  <si>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</si>
  <si>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</si>
  <si>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</si>
  <si>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</si>
  <si>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</si>
  <si>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</si>
  <si>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</si>
  <si>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</si>
  <si>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</si>
  <si>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</si>
  <si>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</si>
  <si>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</si>
  <si>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</si>
  <si>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</si>
  <si>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</si>
  <si>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</si>
  <si>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</si>
  <si>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</si>
  <si>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</si>
  <si>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</si>
  <si>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</si>
  <si>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</si>
  <si>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</si>
  <si>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</si>
  <si>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</si>
  <si>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</si>
  <si>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</si>
  <si>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</si>
  <si>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</si>
  <si>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</si>
  <si>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</si>
  <si>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</si>
  <si>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</si>
  <si>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</si>
  <si>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</si>
  <si>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</si>
  <si>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</si>
  <si>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</si>
  <si>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</si>
  <si>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</si>
  <si>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</si>
  <si>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</si>
  <si>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</si>
  <si>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</si>
  <si>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</si>
  <si>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</si>
  <si>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</si>
  <si>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</si>
  <si>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</si>
  <si>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</si>
  <si>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</si>
  <si>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</si>
  <si>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</si>
  <si>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</si>
  <si>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</si>
  <si>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</si>
  <si>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</si>
  <si>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</si>
  <si>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</si>
  <si>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</si>
  <si>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</si>
  <si>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</si>
  <si>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</si>
  <si>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</si>
  <si>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</si>
  <si>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</si>
  <si>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</si>
  <si>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</si>
  <si>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</si>
  <si>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</si>
  <si>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</si>
  <si>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</si>
  <si>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</si>
  <si>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</si>
  <si>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</si>
  <si>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</si>
  <si>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</si>
  <si>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</si>
  <si>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</si>
  <si>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</si>
  <si>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</si>
  <si>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</si>
  <si>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</si>
  <si>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</si>
  <si>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</si>
  <si>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</si>
  <si>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</si>
  <si>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</si>
  <si>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</si>
  <si>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</si>
  <si>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</si>
  <si>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</si>
  <si>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</si>
  <si>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</si>
  <si>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</si>
  <si>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</si>
  <si>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</si>
  <si>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</si>
  <si>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</si>
  <si>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</si>
  <si>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</si>
  <si>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</si>
  <si>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</si>
  <si>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</si>
  <si>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</si>
  <si>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</si>
  <si>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</si>
  <si>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</si>
  <si>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</si>
  <si>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</si>
  <si>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</si>
  <si>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</si>
  <si>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</si>
  <si>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</si>
  <si>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</si>
  <si>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</si>
  <si>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</si>
  <si>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</si>
  <si>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</si>
  <si>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</si>
  <si>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</si>
  <si>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</si>
  <si>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</si>
  <si>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</si>
  <si>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</si>
  <si>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</si>
  <si>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</si>
  <si>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</si>
  <si>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</si>
  <si>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</si>
  <si>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</si>
  <si>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</si>
  <si>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</si>
  <si>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</si>
  <si>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</si>
  <si>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</si>
  <si>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</si>
  <si>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</si>
  <si>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</si>
  <si>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</si>
  <si>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</si>
  <si>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</si>
  <si>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</si>
  <si>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</si>
  <si>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</si>
  <si>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</si>
  <si>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</si>
  <si>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</si>
  <si>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</si>
  <si>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</si>
  <si>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</si>
  <si>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</si>
  <si>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</si>
  <si>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</si>
  <si>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</si>
  <si>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</si>
  <si>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</si>
  <si>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</si>
  <si>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</si>
  <si>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</si>
  <si>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</t>
  </si>
  <si>
    <t>Previsão de mc1 as 9:30h</t>
  </si>
  <si>
    <t>Previsão de faixa as 9h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</si>
  <si>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</si>
  <si>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Faixa validada com CCO, mc1 as 00:30h</t>
  </si>
  <si>
    <t xml:space="preserve"> </t>
  </si>
  <si>
    <t>Mc1 as 07:21h, licença as 07:54h</t>
  </si>
  <si>
    <t>Deslocamento de TAG para TIQ</t>
  </si>
  <si>
    <t>2 (Enio e Daniel)</t>
  </si>
  <si>
    <t>Deslocamento com plataformas de dormentes de TCS para TOM</t>
  </si>
  <si>
    <t>2 (Eder e Anderson)</t>
  </si>
  <si>
    <t>N98</t>
  </si>
  <si>
    <t>Evandro</t>
  </si>
  <si>
    <t>Deslocamento vgs via de ZTP para 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</si>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</sst>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36" activePane="bottomRight" state="frozen"/>
      <selection pane="bottomRight" activeCell="Q345" sqref="Q3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>
        <v>1</v>
      </c>
      <c r="BI329" s="16"/>
      <c r="BJ329" s="16" t="s">
        <v>1868</v>
      </c>
      <c r="BK329" s="16" t="s">
        <v>1869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1870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714</v>
      </c>
      <c r="G337" s="9" t="str">
        <f>IF(D337="","*",VLOOKUP(F337,BS_ATIVIDADE[#All],3,FALSE))</f>
        <v>MECANIZAÇÃO - SOCADORA</v>
      </c>
      <c r="H337" s="173" t="s">
        <v>570</v>
      </c>
      <c r="I337" s="173" t="s">
        <v>570</v>
      </c>
      <c r="J337" s="215">
        <v>74</v>
      </c>
      <c r="K337" s="215">
        <v>483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37" s="173">
        <v>0.39583333333333331</v>
      </c>
      <c r="P337" s="173">
        <v>8.3333333333333329E-2</v>
      </c>
      <c r="Q337" s="83">
        <v>1020</v>
      </c>
      <c r="R337" s="10" t="str">
        <f>IFERROR(_xlfn.XLOOKUP(F337, BS_ATIVIDADE[ATIVIDADE],BS_ATIVIDADE[UNIDADE] ), "*")</f>
        <v>M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1239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/>
      <c r="AF337" s="83"/>
      <c r="AG337" s="83"/>
      <c r="AH337" s="48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TBR-TGR</v>
      </c>
      <c r="AN337" s="276" t="str">
        <f>IF(BS_CONTROLE[[#This Row],[SB]]=0, "-", BS_CONTROLE[[#This Row],[SB]])</f>
        <v>TBR487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483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570</v>
      </c>
      <c r="I345" s="173" t="s">
        <v>570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/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TOM2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e">
        <f>IF(AND(BR345&lt;1,BS345&lt;1),"Produção e Intervalo",IF(BR345&lt;1,"Intervalo",IF(BS345&lt;1,"Produção","Aderente")))</f>
        <v>#DIV/0!</v>
      </c>
      <c r="BR345" s="18">
        <f>IF(OR(B345="",F345=""),"*",AY345/P345)</f>
        <v>0</v>
      </c>
      <c r="BS345" s="18" t="e">
        <f>IF(OR(B345="",F345=""),"*",BA345/Q345)</f>
        <v>#DIV/0!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1871</v>
      </c>
      <c r="X354" s="216" t="s">
        <v>964</v>
      </c>
      <c r="Y354" s="158"/>
      <c r="Z354" s="158"/>
      <c r="AA354" s="83" t="s">
        <v>1872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W5046020</v>
      </c>
      <c r="B355" s="171">
        <v>46020</v>
      </c>
      <c r="C355" s="8">
        <f>IF(BS_CONTROLE[[#This Row],[DATA]]="","",WEEKNUM(BS_CONTROLE[[#This Row],[DATA]]))</f>
        <v>53</v>
      </c>
      <c r="D355" s="51" t="s">
        <v>835</v>
      </c>
      <c r="E355" s="310">
        <v>337</v>
      </c>
      <c r="F355" s="172" t="s">
        <v>622</v>
      </c>
      <c r="G355" s="9" t="str">
        <f>IF(D355="","*",VLOOKUP(F355,BS_ATIVIDADE[#All],3,FALSE))</f>
        <v>OUTROS</v>
      </c>
      <c r="H355" s="173" t="s">
        <v>264</v>
      </c>
      <c r="I355" s="173" t="s">
        <v>568</v>
      </c>
      <c r="J355" s="215">
        <v>74</v>
      </c>
      <c r="K355" s="215">
        <v>217</v>
      </c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5" s="173">
        <v>0.33333333333333331</v>
      </c>
      <c r="P355" s="173">
        <v>4.1666666666666664E-2</v>
      </c>
      <c r="Q355" s="83">
        <v>1</v>
      </c>
      <c r="R355" s="10" t="str">
        <f>IFERROR(_xlfn.XLOOKUP(F355, BS_ATIVIDADE[ATIVIDADE],BS_ATIVIDADE[UNIDADE] ), "*")</f>
        <v>BINÁRIO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BASE_MAPA!$I$2:$I$359), "ERRO")</f>
        <v>MARCO INICIAL - ALTO ARAGUAIA</v>
      </c>
      <c r="V355" s="196" t="s">
        <v>1787</v>
      </c>
      <c r="W355" s="173" t="s">
        <v>1873</v>
      </c>
      <c r="X355" s="216" t="s">
        <v>964</v>
      </c>
      <c r="Y355" s="158"/>
      <c r="Z355" s="158"/>
      <c r="AA355" s="83" t="s">
        <v>1874</v>
      </c>
      <c r="AB355" s="70" t="s">
        <v>956</v>
      </c>
      <c r="AC355" s="70" t="s">
        <v>608</v>
      </c>
      <c r="AD355" s="173">
        <v>0.29166666666666669</v>
      </c>
      <c r="AE355" s="83">
        <v>7671</v>
      </c>
      <c r="AF355" s="83">
        <v>9322</v>
      </c>
      <c r="AG355" s="83"/>
      <c r="AH355" s="48"/>
      <c r="AI355" s="142" t="str">
        <f>IF(BS_CONTROLE[[#This Row],[Atividade]]=0, "-", BS_CONTROLE[[#This Row],[Atividade]])</f>
        <v>DESLOCAMENTO</v>
      </c>
      <c r="AJ355" s="9" t="str">
        <f>IF(D355="","*",VLOOKUP(AI355,BS_ATIVIDADE[#Data],3,FALSE))</f>
        <v>OUTROS</v>
      </c>
      <c r="AK355" s="276" t="str">
        <f>IF(BS_CONTROLE[[#This Row],[Local - Partida]]=0, "-", BS_CONTROLE[[#This Row],[Local - Partida]])</f>
        <v>TCS2</v>
      </c>
      <c r="AL355" s="276" t="str">
        <f>IF(BS_CONTROLE[[#This Row],[Local - Encerramento]]=0, "-", BS_CONTROLE[[#This Row],[Local - Encerramento]])</f>
        <v>TOM</v>
      </c>
      <c r="AM355" s="276" t="str">
        <f>IF(BS_CONTROLE[[#This Row],[Entre - Estações]]=0, "-", BS_CONTROLE[[#This Row],[Entre - Estações]])</f>
        <v>TID-TVI</v>
      </c>
      <c r="AN355" s="276" t="str">
        <f>IF(BS_CONTROLE[[#This Row],[SB]]=0, "-", BS_CONTROLE[[#This Row],[SB]])</f>
        <v>213TVI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217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BINÁRIO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>N9846020</v>
      </c>
      <c r="B357" s="171">
        <v>46020</v>
      </c>
      <c r="C357" s="8">
        <f>IF(BS_CONTROLE[[#This Row],[DATA]]="","",WEEKNUM(BS_CONTROLE[[#This Row],[DATA]]))</f>
        <v>53</v>
      </c>
      <c r="D357" s="51" t="s">
        <v>1875</v>
      </c>
      <c r="E357" s="310">
        <v>339</v>
      </c>
      <c r="F357" s="172" t="s">
        <v>622</v>
      </c>
      <c r="G357" s="9" t="str">
        <f>IF(D357="","*",VLOOKUP(F357,BS_ATIVIDADE[#All],3,FALSE))</f>
        <v>OUTROS</v>
      </c>
      <c r="H357" s="173" t="s">
        <v>518</v>
      </c>
      <c r="I357" s="173" t="s">
        <v>1771</v>
      </c>
      <c r="J357" s="215">
        <v>78</v>
      </c>
      <c r="K357" s="215">
        <v>334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57" s="173">
        <v>0.375</v>
      </c>
      <c r="P357" s="173">
        <v>4.1666666666666664E-2</v>
      </c>
      <c r="Q357" s="83">
        <v>1</v>
      </c>
      <c r="R357" s="10" t="str">
        <f>IFERROR(_xlfn.XLOOKUP(F357, BS_ATIVIDADE[ATIVIDADE],BS_ATIVIDADE[UNIDADE] ), "*")</f>
        <v>BINÁRIO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BASE_MAPA!$I$2:$I$359), "ERRO")</f>
        <v>ITIRAPINA - BAURU</v>
      </c>
      <c r="V357" s="196" t="s">
        <v>1876</v>
      </c>
      <c r="W357" s="173" t="s">
        <v>1877</v>
      </c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76" t="str">
        <f>IF(BS_CONTROLE[[#This Row],[Local - Partida]]=0, "-", BS_CONTROLE[[#This Row],[Local - Partida]])</f>
        <v>ZTP</v>
      </c>
      <c r="AL357" s="276" t="str">
        <f>IF(BS_CONTROLE[[#This Row],[Local - Encerramento]]=0, "-", BS_CONTROLE[[#This Row],[Local - Encerramento]])</f>
        <v>ZTO</v>
      </c>
      <c r="AM357" s="276" t="str">
        <f>IF(BS_CONTROLE[[#This Row],[Entre - Estações]]=0, "-", BS_CONTROLE[[#This Row],[Entre - Estações]])</f>
        <v>ZAY-ZTP</v>
      </c>
      <c r="AN357" s="276" t="str">
        <f>IF(BS_CONTROLE[[#This Row],[SB]]=0, "-", BS_CONTROLE[[#This Row],[SB]])</f>
        <v>ZAYZTP</v>
      </c>
      <c r="AO357" s="277">
        <f>IF(BS_CONTROLE[[#This Row],[SUB]]=0, "-", BS_CONTROLE[[#This Row],[SUB]])</f>
        <v>78</v>
      </c>
      <c r="AP357" s="278">
        <f>IF(BS_CONTROLE[[#This Row],[KM - Inicio]]=0, "-", BS_CONTROLE[[#This Row],[KM - Inicio]])</f>
        <v>334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BINÁRIO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BASE_MAPA!$I$2:$I$359), "ERRO")</f>
        <v>ITIRAPINA - BAURU</v>
      </c>
      <c r="BF357" s="279" t="str">
        <f>IF(BS_CONTROLE[[#This Row],[Responsavel pelo boletim]]=0, "-", BS_CONTROLE[[#This Row],[Responsavel pelo boletim]])</f>
        <v>Evandro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3" t="str">
        <f t="shared" si="11"/>
        <v/>
      </c>
    </row>
    <row r="358" spans="1:72">
      <c r="A358" s="50" t="str">
        <f>D358&amp;B358</f>
        <v>V4246020</v>
      </c>
      <c r="B358" s="171">
        <v>46020</v>
      </c>
      <c r="C358" s="8">
        <f>IF(BS_CONTROLE[[#This Row],[DATA]]="","",WEEKNUM(BS_CONTROLE[[#This Row],[DATA]]))</f>
        <v>53</v>
      </c>
      <c r="D358" s="51" t="s">
        <v>787</v>
      </c>
      <c r="E358" s="310">
        <v>340</v>
      </c>
      <c r="F358" s="172" t="s">
        <v>740</v>
      </c>
      <c r="G358" s="9" t="str">
        <f>IF(D358="","*",VLOOKUP(F358,BS_ATIVIDADE[#All],3,FALSE))</f>
        <v>MODERNIZAÇÃO</v>
      </c>
      <c r="H358" s="173" t="s">
        <v>394</v>
      </c>
      <c r="I358" s="173" t="s">
        <v>394</v>
      </c>
      <c r="J358" s="215">
        <v>72</v>
      </c>
      <c r="K358" s="215">
        <v>318.5</v>
      </c>
      <c r="L358" s="83">
        <v>319.81900000000002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8" s="173">
        <v>0.27083333333333331</v>
      </c>
      <c r="P358" s="173">
        <v>8.3333333333333329E-2</v>
      </c>
      <c r="Q358" s="83">
        <v>400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ARARAQUARA - COLOMBIA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MODERNIZAÇÃO - SOCADORA</v>
      </c>
      <c r="AJ358" s="9" t="str">
        <f>IF(D358="","*",VLOOKUP(AI358,BS_ATIVIDADE[#Data],3,FALSE))</f>
        <v>MODERNIZAÇÃO</v>
      </c>
      <c r="AK358" s="276" t="str">
        <f>IF(BS_CONTROLE[[#This Row],[Local - Partida]]=0, "-", BS_CONTROLE[[#This Row],[Local - Partida]])</f>
        <v>ZGT1</v>
      </c>
      <c r="AL358" s="276" t="str">
        <f>IF(BS_CONTROLE[[#This Row],[Local - Encerramento]]=0, "-", BS_CONTROLE[[#This Row],[Local - Encerramento]])</f>
        <v>ZGT1</v>
      </c>
      <c r="AM358" s="276" t="str">
        <f>IF(BS_CONTROLE[[#This Row],[Entre - Estações]]=0, "-", BS_CONTROLE[[#This Row],[Entre - Estações]])</f>
        <v>ZGT-ZXE</v>
      </c>
      <c r="AN358" s="276" t="str">
        <f>IF(BS_CONTROLE[[#This Row],[SB]]=0, "-", BS_CONTROLE[[#This Row],[SB]])</f>
        <v>ZGTZXE</v>
      </c>
      <c r="AO358" s="277">
        <f>IF(BS_CONTROLE[[#This Row],[SUB]]=0, "-", BS_CONTROLE[[#This Row],[SUB]])</f>
        <v>72</v>
      </c>
      <c r="AP358" s="278">
        <f>IF(BS_CONTROLE[[#This Row],[KM - Inicio]]=0, "-", BS_CONTROLE[[#This Row],[KM - Inicio]])</f>
        <v>318.5</v>
      </c>
      <c r="AQ358" s="278">
        <f>IF(BS_CONTROLE[[#This Row],[KM - Fim]]=0, "-", BS_CONTROLE[[#This Row],[KM - Fim]])</f>
        <v>319.81900000000002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ARARAQUARA - COLOMBIA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1878</v>
      </c>
      <c r="D5" s="386"/>
      <c r="E5" s="386"/>
      <c r="F5" s="386"/>
      <c r="G5" s="386"/>
      <c r="H5" s="386"/>
      <c r="I5" s="386"/>
      <c r="J5" s="387"/>
      <c r="K5" s="388" t="s">
        <v>1879</v>
      </c>
      <c r="L5" s="389"/>
      <c r="M5" s="389"/>
      <c r="N5" s="389"/>
      <c r="O5" s="390" t="s">
        <v>1880</v>
      </c>
      <c r="P5" s="391"/>
      <c r="Q5" s="392"/>
    </row>
    <row r="6" spans="1:17" s="93" customFormat="1" ht="15.75" customHeight="1">
      <c r="A6" s="87" t="s">
        <v>1881</v>
      </c>
      <c r="B6" s="94" t="s">
        <v>1882</v>
      </c>
      <c r="C6" s="95" t="s">
        <v>1171</v>
      </c>
      <c r="D6" s="96" t="s">
        <v>1172</v>
      </c>
      <c r="E6" s="95" t="s">
        <v>1883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1884</v>
      </c>
      <c r="M6" s="139" t="s">
        <v>627</v>
      </c>
      <c r="N6" s="140" t="s">
        <v>1166</v>
      </c>
      <c r="O6" s="244" t="s">
        <v>1209</v>
      </c>
      <c r="P6" s="157"/>
      <c r="Q6" s="192" t="s">
        <v>1885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Previsão de mc1 as 9:30h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Previsão de faixa as 9h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TBR-TGR</v>
      </c>
      <c r="H337" s="154">
        <f>IF(FN_MC!K337="","*",FN_MC!K337)</f>
        <v>483</v>
      </c>
      <c r="I337" s="132">
        <f>IF(FN_MC!O337="","*",FN_MC!O337)</f>
        <v>0.39583333333333331</v>
      </c>
      <c r="J337" s="132">
        <f>IF(FN_MC!P337="","*",FN_MC!P337)</f>
        <v>8.3333333333333329E-2</v>
      </c>
      <c r="K337" s="141" t="str">
        <f>IF(FN_MC!AK337="","*",FN_MC!AK337)</f>
        <v>TOM2</v>
      </c>
      <c r="L337" s="141" t="str">
        <f>IF(FN_MC!AM337="","*",FN_MC!AM337)</f>
        <v>TBR-TGR</v>
      </c>
      <c r="M337" s="141">
        <f>IF(FN_MC!AP337="","*",FN_MC!AP337)</f>
        <v>483</v>
      </c>
      <c r="N337" s="141" t="str">
        <f>IF(FN_MC!AM337="","*",FN_MC!AM337)</f>
        <v>TBR-TGR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TOM2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1886</v>
      </c>
      <c r="W1" s="398"/>
      <c r="X1" s="398"/>
      <c r="Y1" s="104"/>
    </row>
    <row r="2" spans="1:25" s="100" customFormat="1" ht="11.25" customHeight="1">
      <c r="A2" s="105" t="s">
        <v>1887</v>
      </c>
      <c r="B2" s="105" t="s">
        <v>1882</v>
      </c>
      <c r="C2" s="105" t="s">
        <v>603</v>
      </c>
      <c r="D2" s="106" t="s">
        <v>1171</v>
      </c>
      <c r="E2" s="106" t="s">
        <v>1172</v>
      </c>
      <c r="F2" s="106" t="s">
        <v>1881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1888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SOCADORA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TBR-TGR</v>
      </c>
      <c r="L335" s="110" t="str">
        <f>IF(FN_MC!N337="","*",FN_MC!N337)</f>
        <v>TBR487</v>
      </c>
      <c r="M335" s="111">
        <f>IF(FN_MC!J337="","*",FN_MC!J337)</f>
        <v>74</v>
      </c>
      <c r="N335" s="288">
        <f>IF(FN_MC!K337="","*",FN_MC!K337)</f>
        <v>483</v>
      </c>
      <c r="O335" s="288">
        <f>IF(FN_MC!L337="","*",FN_MC!L337)</f>
        <v>485</v>
      </c>
      <c r="P335" s="111"/>
      <c r="Q335" s="128">
        <f>IF(FN_MC!O337="","*",FN_MC!O337)</f>
        <v>0.39583333333333331</v>
      </c>
      <c r="R335" s="128">
        <f>IF(FN_MC!P337="","*",FN_MC!P337)</f>
        <v>8.3333333333333329E-2</v>
      </c>
      <c r="S335" s="110" t="str">
        <f>IF(FN_MC!Q337="","*",CONCATENATE(FN_MC!Q337," ",FN_MC!R337))</f>
        <v>1020 M</v>
      </c>
      <c r="T335" s="110" t="str">
        <f>IF(FN_MC!V337="","*",FN_MC!V337)</f>
        <v>Antonioni</v>
      </c>
      <c r="U335" s="110" t="str">
        <f>IF(FN_MC!W337="","*",FN_MC!W337)</f>
        <v>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TOM2</v>
      </c>
      <c r="J343" s="110" t="str">
        <f>IF(FN_MC!I345="","*",FN_MC!I345)</f>
        <v>TOM2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Oportunidade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TMI-TCS</v>
      </c>
      <c r="F353" s="110">
        <f>IF(FN_MC!B355="","*",FN_MC!B355)</f>
        <v>46020</v>
      </c>
      <c r="G353" s="110" t="str">
        <f>IF(FN_MC!D355="","*",FN_MC!D355)</f>
        <v>W50</v>
      </c>
      <c r="H353" s="110" t="str">
        <f>IF(FN_MC!F355="","*",FN_MC!F355)</f>
        <v>DESLOCAMENTO</v>
      </c>
      <c r="I353" s="110" t="str">
        <f>IF(FN_MC!H355="","*",FN_MC!H355)</f>
        <v>TCS2</v>
      </c>
      <c r="J353" s="110" t="str">
        <f>IF(FN_MC!I355="","*",FN_MC!I355)</f>
        <v>TOM</v>
      </c>
      <c r="K353" s="110" t="str">
        <f>IF(FN_MC!M355="","*",FN_MC!M355)</f>
        <v>TID-TVI</v>
      </c>
      <c r="L353" s="110" t="str">
        <f>IF(FN_MC!N355="","*",FN_MC!N355)</f>
        <v>213TVI</v>
      </c>
      <c r="M353" s="111">
        <f>IF(FN_MC!J355="","*",FN_MC!J355)</f>
        <v>74</v>
      </c>
      <c r="N353" s="288">
        <f>IF(FN_MC!K355="","*",FN_MC!K355)</f>
        <v>217</v>
      </c>
      <c r="O353" s="288" t="str">
        <f>IF(FN_MC!L355="","*",FN_MC!L355)</f>
        <v>-</v>
      </c>
      <c r="P353" s="111"/>
      <c r="Q353" s="128">
        <f>IF(FN_MC!O355="","*",FN_MC!O355)</f>
        <v>0.33333333333333331</v>
      </c>
      <c r="R353" s="128">
        <f>IF(FN_MC!P355="","*",FN_MC!P355)</f>
        <v>4.1666666666666664E-2</v>
      </c>
      <c r="S353" s="110" t="str">
        <f>IF(FN_MC!Q355="","*",CONCATENATE(FN_MC!Q355," ",FN_MC!R355))</f>
        <v>1 BINÁRIO</v>
      </c>
      <c r="T353" s="110" t="str">
        <f>IF(FN_MC!V355="","*",FN_MC!V355)</f>
        <v>Cleyton</v>
      </c>
      <c r="U353" s="110" t="str">
        <f>IF(FN_MC!W355="","*",FN_MC!W355)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MALHA CENTRAL</v>
      </c>
      <c r="E355" s="110" t="str">
        <f>IF(FN_MC!T357="","*",FN_MC!T357)</f>
        <v>RAMAL</v>
      </c>
      <c r="F355" s="110">
        <f>IF(FN_MC!B357="","*",FN_MC!B357)</f>
        <v>46020</v>
      </c>
      <c r="G355" s="110" t="str">
        <f>IF(FN_MC!D357="","*",FN_MC!D357)</f>
        <v>N98</v>
      </c>
      <c r="H355" s="110" t="str">
        <f>IF(FN_MC!F357="","*",FN_MC!F357)</f>
        <v>DESLOCAMENTO</v>
      </c>
      <c r="I355" s="110" t="str">
        <f>IF(FN_MC!H357="","*",FN_MC!H357)</f>
        <v>ZTP</v>
      </c>
      <c r="J355" s="110" t="str">
        <f>IF(FN_MC!I357="","*",FN_MC!I357)</f>
        <v>ZTO</v>
      </c>
      <c r="K355" s="110" t="str">
        <f>IF(FN_MC!M357="","*",FN_MC!M357)</f>
        <v>ZAY-ZTP</v>
      </c>
      <c r="L355" s="110" t="str">
        <f>IF(FN_MC!N357="","*",FN_MC!N357)</f>
        <v>ZAYZTP</v>
      </c>
      <c r="M355" s="111">
        <f>IF(FN_MC!J357="","*",FN_MC!J357)</f>
        <v>78</v>
      </c>
      <c r="N355" s="288">
        <f>IF(FN_MC!K357="","*",FN_MC!K357)</f>
        <v>334</v>
      </c>
      <c r="O355" s="288" t="str">
        <f>IF(FN_MC!L357="","*",FN_MC!L357)</f>
        <v>-</v>
      </c>
      <c r="P355" s="111"/>
      <c r="Q355" s="128">
        <f>IF(FN_MC!O357="","*",FN_MC!O357)</f>
        <v>0.375</v>
      </c>
      <c r="R355" s="128">
        <f>IF(FN_MC!P357="","*",FN_MC!P357)</f>
        <v>4.1666666666666664E-2</v>
      </c>
      <c r="S355" s="110" t="str">
        <f>IF(FN_MC!Q357="","*",CONCATENATE(FN_MC!Q357," ",FN_MC!R357))</f>
        <v>1 BINÁRIO</v>
      </c>
      <c r="T355" s="110" t="str">
        <f>IF(FN_MC!V357="","*",FN_MC!V357)</f>
        <v>Evandro</v>
      </c>
      <c r="U355" s="110" t="str">
        <f>IF(FN_MC!W357="","*",FN_MC!W357)</f>
        <v>Deslocamento vgs via de ZTP para ZTO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MALHA CENTRAL</v>
      </c>
      <c r="E356" s="110" t="str">
        <f>IF(FN_MC!T358="","*",FN_MC!T358)</f>
        <v>RAMAL</v>
      </c>
      <c r="F356" s="110">
        <f>IF(FN_MC!B358="","*",FN_MC!B358)</f>
        <v>46020</v>
      </c>
      <c r="G356" s="110" t="str">
        <f>IF(FN_MC!D358="","*",FN_MC!D358)</f>
        <v>V42</v>
      </c>
      <c r="H356" s="110" t="str">
        <f>IF(FN_MC!F358="","*",FN_MC!F358)</f>
        <v>MODERNIZAÇÃO - SOCADORA</v>
      </c>
      <c r="I356" s="110" t="str">
        <f>IF(FN_MC!H358="","*",FN_MC!H358)</f>
        <v>ZGT1</v>
      </c>
      <c r="J356" s="110" t="str">
        <f>IF(FN_MC!I358="","*",FN_MC!I358)</f>
        <v>ZGT1</v>
      </c>
      <c r="K356" s="110" t="str">
        <f>IF(FN_MC!M358="","*",FN_MC!M358)</f>
        <v>ZGT-ZXE</v>
      </c>
      <c r="L356" s="110" t="str">
        <f>IF(FN_MC!N358="","*",FN_MC!N358)</f>
        <v>ZGTZXE</v>
      </c>
      <c r="M356" s="111">
        <f>IF(FN_MC!J358="","*",FN_MC!J358)</f>
        <v>72</v>
      </c>
      <c r="N356" s="288">
        <f>IF(FN_MC!K358="","*",FN_MC!K358)</f>
        <v>318.5</v>
      </c>
      <c r="O356" s="288">
        <f>IF(FN_MC!L358="","*",FN_MC!L358)</f>
        <v>319.81900000000002</v>
      </c>
      <c r="P356" s="111"/>
      <c r="Q356" s="128">
        <f>IF(FN_MC!O358="","*",FN_MC!O358)</f>
        <v>0.27083333333333331</v>
      </c>
      <c r="R356" s="128">
        <f>IF(FN_MC!P358="","*",FN_MC!P358)</f>
        <v>8.3333333333333329E-2</v>
      </c>
      <c r="S356" s="110" t="str">
        <f>IF(FN_MC!Q358="","*",CONCATENATE(FN_MC!Q358," ",FN_MC!R358))</f>
        <v>400 M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1889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1890</v>
      </c>
      <c r="C2" s="95" t="s">
        <v>1157</v>
      </c>
      <c r="D2" s="95" t="s">
        <v>596</v>
      </c>
      <c r="E2" s="95" t="s">
        <v>1891</v>
      </c>
      <c r="F2" s="95" t="s">
        <v>1892</v>
      </c>
      <c r="G2" s="95" t="s">
        <v>1893</v>
      </c>
      <c r="H2" s="95" t="s">
        <v>1894</v>
      </c>
      <c r="I2" s="95" t="s">
        <v>1895</v>
      </c>
      <c r="J2" s="95" t="s">
        <v>1896</v>
      </c>
      <c r="K2" s="131" t="s">
        <v>1897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TBR-TGR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TBR-TGR</v>
      </c>
      <c r="G343" s="121" t="str">
        <f>IF(FN_MC!I345="","*",FN_MC!I345)</f>
        <v>TOM2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IF(FN_MC!Y355="","*",FN_MC!Y355)</f>
        <v>*</v>
      </c>
      <c r="C354" s="121">
        <f>IF(FN_MC!B355="","*",FN_MC!B355)</f>
        <v>46020</v>
      </c>
      <c r="D354" s="121" t="str">
        <f>IF(FN_MC!D355="","*",FN_MC!D355)</f>
        <v>W50</v>
      </c>
      <c r="E354" s="121" t="str">
        <f>IF(FN_MC!H355="","*",FN_MC!H355)</f>
        <v>TCS2</v>
      </c>
      <c r="F354" s="137" t="str">
        <f>IF(FN_MC!M355="","*",FN_MC!M355)</f>
        <v>TID-TVI</v>
      </c>
      <c r="G354" s="121" t="str">
        <f>IF(FN_MC!I355="","*",FN_MC!I355)</f>
        <v>TOM</v>
      </c>
      <c r="H354" s="121" t="str">
        <f>IF(FN_MC!AB355="","*",FN_MC!AB355)</f>
        <v>FIXO</v>
      </c>
      <c r="I354" s="121" t="str">
        <f>IF(FN_MC!AC355="","*",FN_MC!AC355)</f>
        <v>-</v>
      </c>
      <c r="J354" s="122" t="str">
        <f>IF(FN_MC!AA355="","*",FN_MC!AA355)</f>
        <v>2 (Eder e Anderson)</v>
      </c>
      <c r="K354" s="134">
        <f>IF(FN_MC!AD355="","*",FN_MC!AD355)</f>
        <v>0.29166666666666669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>
        <f>IF(FN_MC!B357="","*",FN_MC!B357)</f>
        <v>46020</v>
      </c>
      <c r="D356" s="121" t="str">
        <f>IF(FN_MC!D357="","*",FN_MC!D357)</f>
        <v>N98</v>
      </c>
      <c r="E356" s="121" t="str">
        <f>IF(FN_MC!H357="","*",FN_MC!H357)</f>
        <v>ZTP</v>
      </c>
      <c r="F356" s="137" t="str">
        <f>IF(FN_MC!M357="","*",FN_MC!M357)</f>
        <v>ZAY-ZTP</v>
      </c>
      <c r="G356" s="121" t="str">
        <f>IF(FN_MC!I357="","*",FN_MC!I357)</f>
        <v>ZTO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>
        <f>IF(FN_MC!B358="","*",FN_MC!B358)</f>
        <v>46020</v>
      </c>
      <c r="D357" s="121" t="str">
        <f>IF(FN_MC!D358="","*",FN_MC!D358)</f>
        <v>V42</v>
      </c>
      <c r="E357" s="121" t="str">
        <f>IF(FN_MC!H358="","*",FN_MC!H358)</f>
        <v>ZGT1</v>
      </c>
      <c r="F357" s="137" t="str">
        <f>IF(FN_MC!M358="","*",FN_MC!M358)</f>
        <v>ZGT-ZXE</v>
      </c>
      <c r="G357" s="121" t="str">
        <f>IF(FN_MC!I358="","*",FN_MC!I358)</f>
        <v>ZGT1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1899</v>
      </c>
      <c r="C4" s="318" t="s">
        <v>1900</v>
      </c>
      <c r="D4" s="318" t="s">
        <v>1901</v>
      </c>
      <c r="E4" s="318" t="s">
        <v>1902</v>
      </c>
      <c r="F4" s="318" t="s">
        <v>6</v>
      </c>
      <c r="G4" s="318" t="s">
        <v>1903</v>
      </c>
      <c r="H4" s="191"/>
    </row>
    <row r="5" spans="1:8">
      <c r="A5" s="191"/>
      <c r="B5" s="319" t="s">
        <v>1904</v>
      </c>
      <c r="C5" s="319">
        <v>309525</v>
      </c>
      <c r="D5" s="319" t="s">
        <v>1905</v>
      </c>
      <c r="E5" s="319" t="s">
        <v>844</v>
      </c>
      <c r="F5" s="319" t="s">
        <v>1906</v>
      </c>
      <c r="G5" s="320">
        <v>46296</v>
      </c>
      <c r="H5" s="191"/>
    </row>
    <row r="6" spans="1:8">
      <c r="A6" s="191"/>
      <c r="B6" s="319" t="s">
        <v>1907</v>
      </c>
      <c r="C6" s="319">
        <v>256875</v>
      </c>
      <c r="D6" s="319" t="s">
        <v>1908</v>
      </c>
      <c r="E6" s="319" t="s">
        <v>844</v>
      </c>
      <c r="F6" s="319" t="s">
        <v>1906</v>
      </c>
      <c r="G6" s="320">
        <v>46296</v>
      </c>
      <c r="H6" s="191"/>
    </row>
    <row r="7" spans="1:8">
      <c r="A7" s="191"/>
      <c r="B7" s="319" t="s">
        <v>1909</v>
      </c>
      <c r="C7" s="319">
        <v>257278</v>
      </c>
      <c r="D7" s="319" t="s">
        <v>1910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1911</v>
      </c>
      <c r="C8" s="319">
        <v>261794</v>
      </c>
      <c r="D8" s="319" t="s">
        <v>1912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1913</v>
      </c>
      <c r="C9" s="319">
        <v>257033</v>
      </c>
      <c r="D9" s="319" t="s">
        <v>1914</v>
      </c>
      <c r="E9" s="319" t="s">
        <v>835</v>
      </c>
      <c r="F9" s="319" t="s">
        <v>192</v>
      </c>
      <c r="G9" s="319" t="s">
        <v>1915</v>
      </c>
      <c r="H9" s="191"/>
    </row>
    <row r="10" spans="1:8">
      <c r="A10" s="191"/>
      <c r="B10" s="319" t="s">
        <v>1916</v>
      </c>
      <c r="C10" s="319">
        <v>396578</v>
      </c>
      <c r="D10" s="319" t="s">
        <v>1917</v>
      </c>
      <c r="E10" s="319" t="s">
        <v>835</v>
      </c>
      <c r="F10" s="319" t="s">
        <v>192</v>
      </c>
      <c r="G10" s="319" t="s">
        <v>1915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1919</v>
      </c>
      <c r="E3" s="315" t="s">
        <v>1920</v>
      </c>
      <c r="F3" s="315" t="s">
        <v>1921</v>
      </c>
      <c r="G3" s="315" t="s">
        <v>1922</v>
      </c>
      <c r="H3" s="315" t="s">
        <v>1923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2025-12-26T12:38:12Z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