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932" documentId="8_{B6337239-1A00-434D-AAD0-422EA1FEB5AE}" xr6:coauthVersionLast="47" xr6:coauthVersionMax="47" xr10:uidLastSave="{F451CB6D-E017-4C7E-A56A-C8ED5604E5B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0" i="1" l="1"/>
  <c r="AJ326" i="1"/>
  <c r="AJ325" i="1"/>
  <c r="AJ320" i="1"/>
  <c r="AJ324" i="1"/>
  <c r="AJ316" i="1"/>
  <c r="AJ318" i="1"/>
  <c r="AJ314" i="1"/>
  <c r="AJ311" i="1"/>
  <c r="AJ309" i="1"/>
  <c r="AJ307" i="1"/>
  <c r="AJ301" i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<sst xmlns="http://schemas.openxmlformats.org/spreadsheetml/2006/main" count="7573" uniqueCount="1906">
  <si>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</si>
  <si>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</si>
  <si>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</si>
  <si>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</si>
  <si>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</si>
  <si>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</si>
  <si>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</si>
  <si>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</si>
  <si>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</si>
  <si>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</si>
  <si>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</si>
  <si>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</si>
  <si>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</si>
  <si>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</si>
  <si>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</si>
  <si>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</si>
  <si>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</si>
  <si>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</si>
  <si>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</si>
  <si>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</si>
  <si>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</si>
  <si>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</si>
  <si>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</si>
  <si>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</si>
  <si>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</si>
  <si>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</si>
  <si>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</si>
  <si>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</si>
  <si>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</si>
  <si>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</si>
  <si>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</si>
  <si>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</si>
  <si>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</si>
  <si>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</si>
  <si>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</si>
  <si>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</si>
  <si>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</si>
  <si>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</si>
  <si>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</si>
  <si>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</si>
  <si>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</si>
  <si>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</si>
  <si>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</si>
  <si>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</si>
  <si>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</si>
  <si>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</si>
  <si>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</si>
  <si>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</si>
  <si>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</si>
  <si>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</si>
  <si>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</si>
  <si>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</si>
  <si>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</si>
  <si>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</si>
  <si>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</si>
  <si>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</si>
  <si>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</si>
  <si>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</si>
  <si>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</si>
  <si>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</si>
  <si>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</si>
  <si>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</si>
  <si>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</si>
  <si>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</si>
  <si>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</si>
  <si>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</si>
  <si>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</si>
  <si>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</si>
  <si>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</si>
  <si>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</si>
  <si>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</si>
  <si>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</si>
  <si>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</si>
  <si>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</si>
  <si>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</si>
  <si>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</si>
  <si>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</si>
  <si>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</si>
  <si>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</si>
  <si>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</si>
  <si>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</si>
  <si>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</si>
  <si>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</si>
  <si>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</si>
  <si>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</si>
  <si>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</si>
  <si>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</si>
  <si>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</si>
  <si>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</si>
  <si>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</si>
  <si>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</si>
  <si>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</si>
  <si>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</si>
  <si>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</si>
  <si>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</si>
  <si>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</si>
  <si>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</si>
  <si>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</si>
  <si>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</si>
  <si>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</si>
  <si>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</si>
  <si>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</si>
  <si>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</si>
  <si>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</si>
  <si>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</si>
  <si>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</si>
  <si>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</si>
  <si>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</si>
  <si>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</si>
  <si>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</si>
  <si>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</si>
  <si>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</si>
  <si>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</si>
  <si>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</si>
  <si>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</si>
  <si>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</si>
  <si>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</si>
  <si>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</si>
  <si>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</si>
  <si>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</si>
  <si>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</si>
  <si>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</si>
  <si>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</si>
  <si>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</si>
  <si>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</si>
  <si>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</si>
  <si>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</si>
  <si>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</si>
  <si>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</si>
  <si>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</si>
  <si>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</si>
  <si>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</si>
  <si>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</si>
  <si>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</si>
  <si>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</si>
  <si>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</si>
  <si>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</si>
  <si>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</si>
  <si>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</si>
  <si>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</si>
  <si>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</si>
  <si>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</si>
  <si>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</si>
  <si>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</si>
  <si>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</si>
  <si>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</si>
  <si>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</si>
  <si>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</si>
  <si>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</si>
  <si>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</si>
  <si>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</si>
  <si>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</si>
  <si>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</si>
  <si>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</si>
  <si>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</si>
  <si>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</si>
  <si>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</si>
  <si>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</si>
  <si>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</si>
  <si>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</si>
  <si>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</si>
  <si>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</si>
  <si>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</si>
  <si>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</si>
  <si>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</si>
  <si>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</si>
  <si>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</si>
  <si>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</si>
  <si>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</si>
  <si>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</si>
  <si>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</si>
  <si>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</si>
  <si>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</si>
  <si>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</si>
  <si>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</si>
  <si>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</si>
  <si>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</si>
  <si>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</si>
  <si>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</si>
  <si>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</si>
  <si>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</si>
  <si>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</si>
  <si>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</si>
  <si>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</si>
  <si>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</si>
  <si>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</si>
  <si>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</si>
  <si>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</si>
  <si>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</si>
  <si>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</si>
  <si>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</si>
  <si>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</si>
  <si>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</si>
  <si>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</si>
  <si>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</si>
  <si>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</si>
  <si>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</si>
  <si>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</si>
  <si>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</si>
  <si>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</si>
  <si>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</si>
  <si>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</si>
  <si>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</si>
  <si>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</si>
  <si>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</si>
  <si>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</si>
  <si>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</si>
  <si>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</si>
  <si>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</si>
  <si>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</si>
  <si>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</si>
  <si>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</si>
  <si>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</si>
  <si>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</si>
  <si>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</si>
  <si>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</si>
  <si>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</si>
  <si>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</si>
  <si>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</si>
  <si>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</si>
  <si>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</si>
  <si>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</si>
  <si>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</si>
  <si>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</si>
  <si>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</si>
  <si>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</si>
  <si>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</si>
  <si>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</si>
  <si>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</si>
  <si>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</si>
  <si>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</si>
  <si>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</si>
  <si>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</si>
  <si>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</si>
  <si>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</si>
  <si>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</si>
  <si>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</si>
  <si>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</si>
  <si>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</si>
  <si>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</si>
  <si>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</si>
  <si>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</si>
  <si>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</si>
  <si>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</si>
  <si>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</si>
  <si>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</si>
  <si>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</si>
  <si>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</si>
  <si>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</si>
  <si>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</si>
  <si>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</si>
  <si>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</si>
  <si>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</si>
  <si>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</si>
  <si>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</si>
  <si>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</si>
  <si>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</si>
  <si>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</si>
  <si>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</si>
  <si>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</si>
  <si>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</si>
  <si>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</si>
  <si>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</si>
  <si>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</si>
  <si>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</si>
  <si>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</si>
  <si>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</si>
  <si>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</si>
  <si>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</si>
  <si>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</si>
  <si>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</si>
  <si>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</si>
  <si>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</si>
  <si>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</si>
  <si>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</si>
  <si>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</si>
  <si>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</si>
  <si>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</si>
  <si>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</si>
  <si>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</si>
  <si>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</si>
  <si>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</si>
  <si>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</si>
  <si>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</si>
  <si>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</si>
  <si>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</si>
  <si>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</si>
  <si>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</si>
  <si>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</si>
  <si>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</si>
  <si>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</si>
  <si>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</si>
  <si>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</si>
  <si>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</si>
  <si>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</si>
  <si>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</si>
  <si>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</si>
  <si>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</si>
  <si>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</si>
  <si>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</si>
  <si>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</si>
  <si>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</si>
  <si>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</si>
  <si>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</si>
  <si>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</si>
  <si>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</si>
  <si>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</si>
  <si>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</si>
  <si>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</si>
  <si>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</si>
  <si>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</si>
  <si>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</si>
  <si>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</si>
  <si>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</si>
  <si>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</si>
  <si>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</si>
  <si>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</si>
  <si>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</si>
  <si>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</si>
  <si>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</si>
  <si>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</si>
  <si>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</si>
  <si>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</si>
  <si>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</si>
  <si>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</si>
  <si>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</si>
  <si>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</si>
  <si>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</si>
  <si>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</si>
  <si>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</si>
  <si>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</si>
  <si>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</si>
  <si>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</si>
  <si>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</si>
  <si>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</si>
  <si>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</si>
  <si>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</si>
  <si>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</si>
  <si>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</si>
  <si>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</si>
  <si>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</si>
  <si>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</si>
  <si>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</si>
  <si>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</si>
  <si>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</si>
  <si>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</si>
  <si>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</si>
  <si>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</si>
  <si>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</si>
  <si>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</si>
  <si>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</si>
  <si>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</si>
  <si>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</si>
  <si>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</si>
  <si>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</si>
  <si>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</si>
  <si>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</si>
  <si>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</si>
  <si>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</si>
  <si>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</si>
  <si>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</si>
  <si>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</si>
  <si>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</si>
  <si>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</si>
  <si>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</si>
  <si>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</si>
  <si>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</si>
  <si>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</si>
  <si>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</si>
  <si>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</si>
  <si>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</si>
  <si>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</si>
  <si>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</si>
  <si>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</si>
  <si>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</si>
  <si>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</si>
  <si>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</si>
  <si>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</si>
  <si>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</si>
  <si>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</si>
  <si>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</si>
  <si>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</si>
  <si>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</si>
  <si>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</si>
  <si>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</si>
  <si>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</si>
  <si>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</si>
  <si>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</si>
  <si>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</si>
  <si>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</si>
  <si>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</si>
  <si>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</si>
  <si>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</si>
  <si>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</si>
  <si>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</si>
  <si>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</si>
  <si>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</si>
  <si>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</si>
  <si>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</si>
  <si>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</si>
  <si>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</si>
  <si>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</si>
  <si>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</si>
  <si>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</si>
  <si>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</si>
  <si>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</si>
  <si>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</si>
  <si>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</si>
  <si>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</si>
  <si>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</si>
  <si>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</si>
  <si>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</si>
  <si>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</si>
  <si>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</si>
  <si>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</si>
  <si>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</si>
  <si>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</si>
  <si>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</si>
  <si>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</si>
  <si>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</si>
  <si>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</si>
  <si>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</si>
  <si>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</si>
  <si>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</si>
  <si>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</si>
  <si>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</si>
  <si>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</si>
  <si>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</si>
  <si>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</si>
  <si>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</si>
  <si>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</si>
  <si>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</si>
  <si>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</si>
  <si>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</si>
  <si>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</si>
  <si>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</si>
  <si>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</si>
  <si>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</si>
  <si>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</si>
  <si>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</si>
  <si>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</si>
  <si>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</si>
  <si>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</si>
  <si>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</si>
  <si>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</si>
  <si>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</si>
  <si>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</si>
  <si>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</si>
  <si>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</si>
  <si>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</si>
  <si>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</si>
  <si>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</si>
  <si>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</si>
  <si>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</si>
  <si>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</si>
  <si>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</si>
  <si>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</si>
  <si>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</si>
  <si>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</si>
  <si>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</si>
  <si>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</si>
  <si>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</si>
  <si>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</si>
  <si>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</si>
  <si>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</si>
  <si>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</si>
  <si>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</si>
  <si>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</si>
  <si>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</si>
  <si>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</si>
  <si>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</si>
  <si>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</si>
  <si>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</si>
  <si>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</si>
  <si>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</si>
  <si>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</si>
  <si>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</si>
  <si>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</si>
  <si>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</si>
  <si>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</si>
  <si>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</si>
  <si>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</si>
  <si>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</si>
  <si>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</si>
  <si>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</si>
  <si>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</si>
  <si>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</si>
  <si>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</si>
  <si>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</si>
  <si>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</si>
  <si>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</si>
  <si>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</si>
  <si>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</si>
  <si>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</si>
  <si>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</si>
  <si>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</si>
  <si>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</si>
  <si>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</si>
  <si>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</si>
  <si>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</si>
  <si>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</si>
  <si>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</si>
  <si>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</si>
  <si>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</si>
  <si>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</si>
  <si>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</si>
  <si>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</si>
  <si>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</si>
  <si>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</si>
  <si>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</si>
  <si>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</si>
  <si>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</si>
  <si>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</si>
  <si>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</si>
  <si>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</si>
  <si>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</si>
  <si>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</si>
  <si>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</si>
  <si>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</si>
  <si>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</si>
  <si>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</si>
  <si>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</si>
  <si>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</si>
  <si>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</si>
  <si>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</si>
  <si>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</si>
  <si>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</si>
  <si>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</si>
  <si>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</si>
  <si>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</si>
  <si>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</si>
  <si>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</si>
  <si>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</si>
  <si>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</si>
  <si>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</si>
  <si>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</si>
  <si>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</si>
  <si>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</si>
  <si>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</si>
  <si>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</si>
  <si>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</si>
  <si>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</si>
  <si>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</si>
  <si>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</si>
  <si>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</si>
  <si>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</si>
  <si>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</si>
  <si>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</si>
  <si>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</si>
  <si>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</si>
  <si>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</si>
  <si>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</si>
  <si>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</si>
  <si>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</si>
  <si>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</si>
  <si>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</si>
  <si>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</si>
  <si>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</si>
  <si>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</si>
  <si>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</si>
  <si>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</si>
  <si>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</si>
  <si>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</si>
  <si>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</si>
  <si>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</si>
  <si>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</si>
  <si>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</si>
  <si>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</si>
  <si>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</si>
  <si>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</si>
  <si>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</si>
  <si>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</si>
  <si>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</si>
  <si>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</si>
  <si>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</si>
  <si>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</si>
  <si>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</si>
  <si>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</si>
  <si>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</si>
  <si>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</si>
  <si>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</si>
  <si>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</si>
  <si>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</si>
  <si>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</si>
  <si>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</si>
  <si>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</si>
  <si>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</si>
  <si>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</si>
  <si>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</si>
  <si>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</si>
  <si>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</si>
  <si>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</si>
  <si>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</si>
  <si>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</si>
  <si>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</si>
  <si>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</si>
  <si>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</si>
  <si>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</si>
  <si>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</si>
  <si>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</si>
  <si>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</si>
  <si>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</si>
  <si>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</si>
  <si>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</si>
  <si>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</si>
  <si>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</si>
  <si>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</si>
  <si>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</si>
  <si>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</si>
  <si>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</si>
  <si>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</si>
  <si>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</si>
  <si>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</si>
  <si>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</si>
  <si>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</si>
  <si>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</si>
  <si>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</si>
  <si>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</si>
  <si>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</si>
  <si>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</si>
  <si>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</si>
  <si>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</si>
  <si>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</si>
  <si>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</si>
  <si>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</si>
  <si>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</si>
  <si>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</si>
  <si>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</si>
  <si>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</si>
  <si>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</si>
  <si>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</si>
  <si>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</si>
  <si>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</si>
  <si>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</si>
  <si>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</si>
  <si>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</si>
  <si>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</si>
  <si>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</si>
  <si>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</si>
  <si>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</si>
  <si>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</si>
  <si>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</si>
  <si>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</si>
  <si>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</si>
  <si>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</si>
  <si>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</si>
  <si>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</si>
  <si>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</si>
  <si>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</si>
  <si>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</si>
  <si>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</si>
  <si>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</si>
  <si>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</si>
  <si>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</si>
  <si>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</si>
  <si>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</si>
  <si>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</si>
  <si>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</si>
  <si>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</si>
  <si>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</si>
  <si>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</si>
  <si>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</si>
  <si>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</si>
  <si>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</si>
  <si>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</si>
  <si>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</si>
  <si>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</si>
  <si>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</si>
  <si>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</si>
  <si>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</si>
  <si>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</si>
  <si>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</si>
  <si>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</si>
  <si>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</si>
  <si>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</si>
  <si>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</si>
  <si>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</si>
  <si>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</si>
  <si>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</si>
  <si>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</si>
  <si>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</si>
  <si>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</si>
  <si>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</si>
  <si>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</si>
  <si>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</si>
  <si>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</si>
  <si>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</si>
  <si>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</si>
  <si>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</si>
  <si>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</si>
  <si>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</si>
  <si>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</si>
  <si>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</si>
  <si>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</si>
  <si>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</si>
  <si>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</si>
  <si>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</si>
  <si>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</si>
  <si>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</si>
  <si>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</si>
  <si>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</si>
  <si>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</si>
  <si>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</si>
  <si>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</si>
  <si>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</si>
  <si>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</si>
  <si>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</si>
  <si>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</si>
  <si>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</si>
  <si>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</si>
  <si>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</si>
  <si>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</si>
  <si>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</si>
  <si>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</si>
  <si>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</si>
  <si>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</si>
  <si>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</si>
  <si>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</si>
  <si>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</si>
  <si>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</si>
  <si>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</si>
  <si>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</si>
  <si>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</si>
  <si>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</si>
  <si>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</si>
  <si>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</si>
  <si>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</si>
  <si>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</si>
  <si>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</si>
  <si>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</si>
  <si>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</si>
  <si>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</si>
  <si>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</si>
  <si>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</si>
  <si>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</si>
  <si>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</si>
  <si>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</si>
  <si>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</si>
  <si>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</si>
  <si>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</si>
  <si>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</si>
  <si>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</si>
  <si>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</si>
  <si>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</si>
  <si>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</si>
  <si>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</si>
  <si>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</si>
  <si>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</si>
  <si>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</si>
  <si>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</si>
  <si>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</si>
  <si>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</si>
  <si>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</si>
  <si>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</si>
  <si>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</si>
  <si>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</si>
  <si>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</si>
  <si>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</si>
  <si>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</si>
  <si>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</si>
  <si>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</si>
  <si>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</si>
  <si>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</si>
  <si>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</si>
  <si>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</si>
  <si>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</si>
  <si>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</si>
  <si>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</si>
  <si>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</si>
  <si>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</si>
  <si>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</si>
  <si>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</si>
  <si>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</si>
  <si>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</si>
  <si>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</si>
  <si>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</si>
  <si>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</si>
  <si>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</si>
  <si>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</si>
  <si>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</si>
  <si>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</si>
  <si>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</si>
  <si>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</si>
  <si>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</si>
  <si>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</si>
  <si>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</si>
  <si>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</si>
  <si>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</si>
  <si>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</si>
  <si>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</si>
  <si>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</si>
  <si>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</si>
  <si>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</si>
  <si>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</si>
  <si>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</si>
  <si>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</si>
  <si>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</si>
  <si>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</si>
  <si>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</si>
  <si>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</si>
  <si>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</si>
  <si>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</si>
  <si>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</si>
  <si>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</si>
  <si>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</si>
  <si>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</si>
  <si>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</si>
  <si>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</si>
  <si>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</si>
  <si>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</si>
  <si>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</si>
  <si>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</si>
  <si>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</si>
  <si>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</si>
  <si>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</si>
  <si>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</si>
  <si>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</si>
  <si>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</si>
  <si>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</si>
  <si>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</si>
  <si>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</si>
  <si>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</si>
  <si>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</si>
  <si>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</si>
  <si>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</si>
  <si>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</si>
  <si>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</si>
  <si>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</si>
  <si>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</si>
  <si>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</si>
  <si>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</si>
  <si>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</si>
  <si>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</si>
  <si>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</si>
  <si>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</si>
  <si>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</si>
  <si>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</si>
  <si>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</si>
  <si>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</si>
  <si>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</si>
  <si>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</si>
  <si>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</si>
  <si>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</si>
  <si>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</si>
  <si>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</si>
  <si>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</si>
  <si>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</si>
  <si>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</si>
  <si>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</si>
  <si>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</si>
  <si>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</si>
  <si>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</si>
  <si>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</si>
  <si>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</si>
  <si>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</si>
  <si>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</si>
  <si>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</si>
  <si>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</si>
  <si>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</si>
  <si>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</si>
  <si>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</si>
  <si>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</si>
  <si>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</si>
  <si>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</si>
  <si>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</si>
  <si>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</si>
  <si>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</si>
  <si>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</si>
  <si>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</si>
  <si>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</si>
  <si>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</si>
  <si>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</si>
  <si>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</si>
  <si>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</si>
  <si>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</si>
  <si>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</si>
  <si>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</si>
  <si>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</si>
  <si>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</si>
  <si>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</si>
  <si>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</si>
  <si>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</si>
  <si>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</si>
  <si>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</si>
  <si>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</si>
  <si>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</si>
  <si>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</si>
  <si>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</si>
  <si>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</si>
  <si>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</si>
  <si>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</si>
  <si>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</si>
  <si>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</si>
  <si>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</si>
  <si>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</si>
  <si>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</si>
  <si>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</si>
  <si>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</si>
  <si>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</si>
  <si>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</si>
  <si>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</si>
  <si>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</si>
  <si>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</si>
  <si>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</si>
  <si>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</si>
  <si>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</si>
  <si>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</si>
  <si>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</si>
  <si>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</si>
  <si>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</si>
  <si>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</si>
  <si>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</si>
  <si>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</si>
  <si>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</si>
  <si>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</si>
  <si>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</si>
  <si>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</si>
  <si>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</si>
  <si>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</si>
  <si>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</si>
  <si>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</si>
  <si>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</si>
  <si>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</si>
  <si>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</si>
  <si>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</si>
  <si>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</si>
  <si>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</si>
  <si>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</si>
  <si>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</si>
  <si>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</si>
  <si>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</si>
  <si>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</si>
  <si>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</si>
  <si>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</si>
  <si>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</si>
  <si>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</si>
  <si>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</si>
  <si>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</si>
  <si>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</si>
  <si>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</si>
  <si>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</si>
  <si>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</si>
  <si>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</si>
  <si>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</si>
  <si>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</si>
  <si>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</si>
  <si>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</si>
  <si>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</si>
  <si>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</si>
  <si>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</si>
  <si>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</si>
  <si>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</si>
  <si>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</si>
  <si>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</si>
  <si>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</si>
  <si>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</si>
  <si>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</si>
  <si>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</si>
  <si>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</si>
  <si>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</si>
  <si>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</si>
  <si>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</si>
  <si>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</si>
  <si>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</si>
  <si>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</si>
  <si>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</si>
  <si>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</si>
  <si>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</si>
  <si>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</si>
  <si>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</si>
  <si>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</si>
  <si>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</si>
  <si>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</si>
  <si>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</si>
  <si>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</si>
  <si>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</si>
  <si>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</si>
  <si>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</si>
  <si>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</si>
  <si>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</si>
  <si>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</si>
  <si>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</si>
  <si>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</si>
  <si>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</si>
  <si>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</si>
  <si>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</si>
  <si>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</si>
  <si>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</si>
  <si>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</si>
  <si>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</si>
  <si>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</si>
  <si>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</si>
  <si>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</si>
  <si>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</si>
  <si>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</si>
  <si>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</si>
  <si>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</si>
  <si>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</si>
  <si>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</si>
  <si>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</si>
  <si>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</si>
  <si>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</si>
  <si>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</si>
  <si>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</si>
  <si>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</si>
  <si>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</si>
  <si>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</si>
  <si>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</si>
  <si>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</si>
  <si>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</si>
  <si>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</si>
  <si>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</si>
  <si>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</si>
  <si>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</si>
  <si>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</si>
  <si>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</si>
  <si>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</si>
  <si>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</si>
  <si>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</si>
  <si>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</si>
  <si>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</si>
  <si>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</si>
  <si>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</si>
  <si>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</si>
  <si>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</si>
  <si>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</si>
  <si>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</si>
  <si>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</si>
  <si>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</si>
  <si>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</si>
  <si>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</si>
  <si>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</si>
  <si>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</si>
  <si>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</si>
  <si>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</si>
  <si>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</si>
  <si>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</si>
  <si>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</si>
  <si>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</si>
  <si>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</si>
  <si>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</si>
  <si>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</si>
  <si>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</si>
  <si>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</si>
  <si>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</si>
  <si>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</si>
  <si>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</si>
  <si>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</si>
  <si>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</si>
  <si>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</si>
  <si>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</si>
  <si>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</si>
  <si>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</si>
  <si>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</si>
  <si>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</si>
  <si>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</si>
  <si>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</si>
  <si>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</si>
  <si>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</si>
  <si>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</si>
  <si>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</si>
  <si>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</si>
  <si>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</si>
  <si>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</si>
  <si>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</si>
  <si>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</si>
  <si>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</si>
  <si>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</si>
  <si>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</si>
  <si>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</si>
  <si>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</si>
  <si>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</si>
  <si>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</si>
  <si>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</si>
  <si>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</si>
  <si>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</si>
  <si>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</si>
  <si>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</si>
  <si>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</si>
  <si>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</si>
  <si>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</si>
  <si>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</si>
  <si>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</si>
  <si>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</si>
  <si>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</si>
  <si>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</si>
  <si>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</si>
  <si>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</si>
  <si>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</si>
  <si>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</si>
  <si>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</si>
  <si>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</si>
  <si>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</si>
  <si>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</si>
  <si>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</si>
  <si>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</si>
  <si>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</si>
  <si>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</si>
  <si>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</si>
  <si>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</si>
  <si>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</si>
  <si>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</si>
  <si>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</si>
  <si>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</si>
  <si>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</si>
  <si>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</si>
  <si>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</si>
  <si>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</si>
  <si>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</si>
  <si>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</si>
  <si>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</si>
  <si>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</si>
  <si>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</si>
  <si>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</si>
  <si>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</si>
  <si>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</si>
  <si>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</si>
  <si>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</si>
  <si>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</si>
  <si>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</si>
  <si>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</si>
  <si>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</si>
  <si>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</si>
  <si>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</si>
  <si>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</si>
  <si>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</si>
  <si>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</si>
  <si>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</si>
  <si>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</si>
  <si>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</si>
  <si>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</si>
  <si>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</si>
  <si>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</si>
  <si>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</si>
  <si>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</si>
  <si>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</si>
  <si>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</si>
  <si>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</si>
  <si>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</si>
  <si>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</si>
  <si>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</si>
  <si>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</si>
  <si>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</si>
  <si>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</si>
  <si>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</si>
  <si>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</si>
  <si>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</si>
  <si>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</si>
  <si>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</si>
  <si>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</si>
  <si>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</si>
  <si>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</si>
  <si>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</si>
  <si>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</si>
  <si>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</si>
  <si>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</si>
  <si>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</si>
  <si>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</si>
  <si>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</si>
  <si>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</si>
  <si>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</si>
  <si>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</si>
  <si>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</si>
  <si>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</si>
  <si>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</si>
  <si>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</si>
  <si>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</si>
  <si>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</si>
  <si>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</si>
  <si>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</si>
  <si>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</si>
  <si>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</si>
  <si>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</si>
  <si>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</si>
  <si>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</si>
  <si>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</si>
  <si>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</si>
  <si>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</si>
  <si>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</si>
  <si>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</si>
  <si>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</si>
  <si>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</si>
  <si>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</si>
  <si>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</si>
  <si>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</si>
  <si>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</si>
  <si>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</si>
  <si>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</si>
  <si>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</si>
  <si>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</si>
  <si>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</si>
  <si>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</si>
  <si>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</si>
  <si>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</si>
  <si>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</si>
  <si>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</si>
  <si>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</si>
  <si>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</si>
  <si>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</si>
  <si>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</si>
  <si>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</si>
  <si>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</si>
  <si>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</si>
  <si>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</si>
  <si>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</si>
  <si>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</si>
  <si>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</si>
  <si>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</si>
  <si>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</si>
  <si>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</si>
  <si>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</si>
  <si>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</si>
  <si>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</si>
  <si>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</si>
  <si>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</si>
  <si>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</si>
  <si>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</si>
  <si>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</si>
  <si>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</si>
  <si>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</si>
  <si>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</si>
  <si>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</si>
  <si>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</si>
  <si>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</si>
  <si>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</si>
  <si>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</si>
  <si>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</si>
  <si>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</si>
  <si>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</si>
  <si>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</si>
  <si>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</si>
  <si>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</si>
  <si>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</si>
  <si>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</si>
  <si>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</si>
  <si>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</si>
  <si>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</si>
  <si>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</si>
  <si>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</si>
  <si>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</si>
  <si>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</si>
  <si>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</si>
  <si>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</si>
  <si>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</si>
  <si>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</si>
  <si>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</si>
  <si>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</si>
  <si>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</si>
  <si>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</si>
  <si>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</si>
  <si>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</si>
  <si>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</si>
  <si>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</si>
  <si>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</si>
  <si>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</si>
  <si>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</si>
  <si>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</si>
  <si>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</si>
  <si>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</si>
  <si>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</si>
  <si>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</si>
  <si>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</si>
  <si>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</si>
  <si>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</si>
  <si>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</si>
  <si>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</si>
  <si>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</si>
  <si>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</si>
  <si>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</si>
  <si>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</si>
  <si>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</si>
  <si>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</si>
  <si>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</si>
  <si>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</si>
  <si>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</si>
  <si>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</si>
  <si>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</si>
  <si>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</si>
  <si>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</si>
  <si>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</si>
  <si>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</si>
  <si>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</si>
  <si>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</si>
  <si>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</si>
  <si>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</si>
  <si>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</si>
  <si>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</si>
  <si>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</si>
  <si>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</si>
  <si>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</si>
  <si>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</si>
  <si>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</si>
  <si>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</si>
  <si>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</si>
  <si>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</si>
  <si>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</si>
  <si>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</si>
  <si>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</si>
  <si>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</si>
  <si>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</si>
  <si>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</si>
  <si>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</si>
  <si>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</si>
  <si>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</si>
  <si>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</si>
  <si>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</si>
  <si>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</si>
  <si>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</si>
  <si>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</si>
  <si>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</si>
  <si>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</si>
  <si>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</si>
  <si>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</si>
  <si>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</si>
  <si>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</si>
  <si>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</si>
  <si>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</si>
  <si>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</si>
  <si>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</si>
  <si>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</si>
  <si>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</si>
  <si>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</si>
  <si>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</si>
  <si>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</si>
  <si>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</si>
  <si>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</si>
  <si>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</si>
  <si>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</si>
  <si>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</si>
  <si>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</si>
  <si>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</si>
  <si>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</si>
  <si>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</si>
  <si>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</si>
  <si>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</si>
  <si>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</si>
  <si>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</si>
  <si>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</si>
  <si>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</si>
  <si>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</si>
  <si>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</si>
  <si>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</si>
  <si>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</si>
  <si>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</si>
  <si>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</si>
  <si>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</si>
  <si>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</si>
  <si>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</si>
  <si>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</si>
  <si>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</si>
  <si>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</si>
  <si>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</si>
  <si>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</si>
  <si>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</si>
  <si>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</si>
  <si>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</si>
  <si>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</si>
  <si>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</si>
  <si>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</si>
  <si>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</si>
  <si>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</si>
  <si>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</si>
  <si>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</si>
  <si>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</si>
  <si>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</si>
  <si>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</si>
  <si>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</si>
  <si>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</si>
  <si>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</si>
  <si>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</si>
  <si>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</si>
  <si>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</si>
  <si>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</si>
  <si>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</si>
  <si>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</si>
  <si>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</si>
  <si>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</si>
  <si>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</si>
  <si>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</si>
  <si>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</si>
  <si>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</si>
  <si>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</si>
  <si>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</si>
  <si>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</si>
  <si>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</si>
  <si>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</si>
  <si>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</si>
  <si>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</si>
  <si>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</si>
  <si>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</si>
  <si>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</si>
  <si>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</si>
  <si>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</si>
  <si>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</si>
  <si>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</si>
  <si>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</si>
  <si>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</si>
  <si>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</si>
  <si>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</si>
  <si>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</si>
  <si>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</si>
  <si>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</si>
  <si>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</si>
  <si>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</si>
  <si>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</si>
  <si>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</si>
  <si>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</si>
  <si>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</si>
  <si>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</si>
  <si>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</si>
  <si>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</si>
  <si>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</si>
  <si>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</si>
  <si>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</si>
  <si>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</si>
  <si>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</si>
  <si>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</si>
  <si>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</si>
  <si>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</si>
  <si>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</si>
  <si>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</si>
  <si>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</si>
  <si>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</si>
  <si>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</si>
  <si>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</si>
  <si>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</si>
  <si>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</si>
  <si>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</si>
  <si>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</si>
  <si>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</si>
  <si>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</si>
  <si>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</si>
  <si>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</si>
  <si>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</si>
  <si>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</si>
  <si>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</si>
  <si>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</si>
  <si>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</si>
  <si>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</si>
  <si>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</si>
  <si>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</si>
  <si>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</si>
  <si>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</si>
  <si>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</si>
  <si>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</si>
  <si>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</si>
  <si>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</si>
  <si>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</si>
  <si>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</si>
  <si>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</si>
  <si>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</si>
  <si>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</si>
  <si>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</si>
  <si>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</si>
  <si>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</si>
  <si>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</si>
  <si>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</si>
  <si>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</si>
  <si>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</si>
  <si>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</si>
  <si>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</si>
  <si>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</si>
  <si>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</si>
  <si>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</si>
  <si>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</si>
  <si>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</si>
  <si>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</si>
  <si>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</si>
  <si>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</si>
  <si>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</si>
  <si>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</si>
  <si>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</si>
  <si>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</si>
  <si>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</si>
  <si>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</si>
  <si>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</si>
  <si>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</si>
  <si>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</si>
  <si>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</si>
  <si>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</si>
  <si>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</si>
  <si>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</si>
  <si>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</si>
  <si>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</si>
  <si>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</si>
  <si>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</si>
  <si>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</si>
  <si>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</si>
  <si>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</si>
  <si>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</si>
  <si>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</si>
  <si>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</si>
  <si>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</si>
  <si>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</si>
  <si>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</si>
  <si>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</si>
  <si>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</si>
  <si>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</si>
  <si>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</si>
  <si>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</si>
  <si>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</si>
  <si>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</si>
  <si>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</si>
  <si>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</si>
  <si>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</si>
  <si>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</si>
  <si>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</si>
  <si>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</si>
  <si>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</si>
  <si>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</si>
  <si>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</si>
  <si>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</si>
  <si>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</si>
  <si>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</si>
  <si>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</si>
  <si>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</si>
  <si>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</si>
  <si>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</si>
  <si>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</si>
  <si>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</si>
  <si>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</si>
  <si>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</si>
  <si>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</si>
  <si>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</si>
  <si>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</si>
  <si>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</si>
  <si>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</si>
  <si>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</si>
  <si>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</si>
  <si>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</si>
  <si>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</si>
  <si>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</si>
  <si>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</si>
  <si>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</si>
  <si>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</si>
  <si>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</si>
  <si>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</si>
  <si>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</si>
  <si>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</si>
  <si>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</si>
  <si>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</si>
  <si>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</si>
  <si>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</si>
  <si>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</si>
  <si>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</si>
  <si>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</si>
  <si>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</si>
  <si>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</si>
  <si>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</si>
  <si>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</si>
  <si>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</si>
  <si>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</si>
  <si>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</si>
  <si>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</si>
  <si>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</si>
  <si>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</si>
  <si>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</si>
  <si>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</si>
  <si>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</si>
  <si>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</si>
  <si>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</si>
  <si>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</si>
  <si>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</si>
  <si>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</si>
  <si>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</si>
  <si>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</si>
  <si>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</si>
  <si>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</si>
  <si>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</si>
  <si>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</si>
  <si>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</si>
  <si>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</si>
  <si>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</si>
  <si>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</si>
  <si>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</si>
  <si>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</si>
  <si>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</si>
  <si>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</si>
  <si>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</si>
  <si>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</si>
  <si>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</si>
  <si>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</si>
  <si>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</si>
  <si>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</si>
  <si>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</si>
  <si>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</si>
  <si>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</si>
  <si>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</si>
  <si>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</si>
  <si>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</si>
  <si>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</si>
  <si>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</si>
  <si>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</si>
  <si>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</si>
  <si>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</si>
  <si>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</si>
  <si>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</si>
  <si>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</si>
  <si>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</si>
  <si>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</si>
  <si>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</si>
  <si>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</si>
  <si>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</si>
  <si>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</si>
  <si>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</si>
  <si>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</si>
  <si>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</si>
  <si>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</si>
  <si>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</si>
  <si>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</si>
  <si>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</si>
  <si>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</si>
  <si>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</si>
  <si>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</si>
  <si>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</si>
  <si>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</si>
  <si>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</si>
  <si>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</si>
  <si>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</si>
  <si>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</si>
  <si>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</si>
  <si>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</si>
  <si>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</si>
  <si>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</si>
  <si>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</si>
  <si>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</si>
  <si>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</si>
  <si>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</si>
  <si>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</si>
  <si>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</si>
  <si>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</si>
  <si>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</si>
  <si>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</si>
  <si>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</si>
  <si>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</si>
  <si>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</si>
  <si>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</si>
  <si>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</si>
  <si>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</si>
  <si>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</si>
  <si>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</si>
  <si>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</si>
  <si>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</si>
  <si>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</si>
  <si>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</si>
  <si>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</si>
  <si>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</si>
  <si>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</si>
  <si>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</si>
  <si>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</si>
  <si>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</si>
  <si>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</si>
  <si>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</si>
  <si>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</si>
  <si>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</si>
  <si>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</si>
  <si>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</si>
  <si>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</si>
  <si>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</si>
  <si>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</si>
  <si>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</si>
  <si>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</si>
  <si>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</si>
  <si>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</si>
  <si>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</si>
  <si>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</si>
  <si>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</si>
  <si>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</si>
  <si>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</si>
  <si>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</si>
  <si>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</si>
  <si>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</si>
  <si>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</si>
  <si>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</si>
  <si>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</si>
  <si>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</si>
  <si>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</si>
  <si>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</si>
  <si>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</si>
  <si>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</si>
  <si>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</si>
  <si>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</si>
  <si>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</si>
  <si>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</si>
  <si>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</si>
  <si>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</si>
  <si>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</si>
  <si>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</si>
  <si>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</si>
  <si>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</si>
  <si>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</si>
  <si>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</si>
  <si>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</si>
  <si>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</si>
  <si>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</si>
  <si>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</si>
  <si>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</si>
  <si>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</si>
  <si>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</si>
  <si>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</si>
  <si>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</si>
  <si>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</si>
  <si>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</si>
  <si>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</si>
  <si>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</si>
  <si>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</si>
  <si>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</si>
  <si>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</si>
  <si>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</si>
  <si>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</si>
  <si>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</si>
  <si>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</si>
  <si>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</si>
  <si>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</si>
  <si>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</si>
  <si>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</si>
  <si>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</si>
  <si>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</si>
  <si>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</si>
  <si>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</si>
  <si>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</si>
  <si>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</si>
  <si>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</si>
  <si>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</si>
  <si>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</si>
  <si>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</si>
  <si>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</si>
  <si>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</si>
  <si>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</si>
  <si>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</si>
  <si>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</si>
  <si>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</si>
  <si>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</si>
  <si>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</si>
  <si>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</si>
  <si>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</si>
  <si>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</si>
  <si>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</si>
  <si>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</si>
  <si>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</si>
  <si>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</si>
  <si>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</si>
  <si>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</si>
  <si>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</si>
  <si>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</si>
  <si>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</si>
  <si>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</si>
  <si>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</si>
  <si>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</si>
  <si>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</si>
  <si>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</si>
  <si>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</si>
  <si>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</si>
  <si>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</si>
  <si>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</si>
  <si>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</si>
  <si>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</si>
  <si>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</si>
  <si>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</si>
  <si>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</si>
  <si>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</si>
  <si>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</si>
  <si>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</si>
  <si>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</si>
  <si>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</si>
  <si>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</si>
  <si>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</si>
  <si>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</si>
  <si>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</si>
  <si>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</si>
  <si>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</si>
  <si>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</si>
  <si>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</si>
  <si>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</si>
  <si>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</si>
  <si>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</si>
  <si>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</si>
  <si>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</si>
  <si>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</si>
  <si>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</si>
  <si>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</si>
  <si>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</si>
  <si>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</si>
  <si>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</si>
  <si>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</si>
  <si>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</si>
  <si>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</si>
  <si>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</si>
  <si>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</si>
  <si>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</si>
  <si>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</si>
  <si>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</si>
  <si>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</si>
  <si>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</si>
  <si>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</si>
  <si>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</si>
  <si>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</si>
  <si>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</si>
  <si>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</si>
  <si>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</si>
  <si>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</si>
  <si>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</si>
  <si>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</si>
  <si>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</si>
  <si>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</si>
  <si>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</si>
  <si>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</si>
  <si>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</si>
  <si>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</si>
  <si>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</si>
  <si>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</si>
  <si>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</si>
  <si>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</si>
  <si>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</si>
  <si>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</si>
  <si>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</si>
  <si>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</si>
  <si>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</si>
  <si>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</si>
  <si>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</si>
  <si>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</si>
  <si>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</si>
  <si>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</si>
  <si>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</si>
  <si>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</si>
  <si>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</si>
  <si>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</si>
  <si>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</si>
  <si>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</si>
  <si>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</si>
  <si>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</si>
  <si>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</si>
  <si>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</si>
  <si>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</si>
  <si>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</si>
  <si>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</si>
  <si>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</si>
  <si>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</si>
  <si>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</si>
  <si>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</si>
  <si>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</si>
  <si>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</si>
  <si>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</si>
  <si>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</si>
  <si>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</si>
  <si>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>Aguardando descanso da equipe</t>
  </si>
  <si>
    <t>Lucas</t>
  </si>
  <si>
    <t>Carga de pedra em PPR desloca até PSG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</si>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</sst>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G309" activePane="topRight" state="frozen"/>
      <selection pane="topRight" activeCell="F326" sqref="F326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148" t="s">
        <v>459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>
        <v>0.38958333333333334</v>
      </c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 t="s">
        <v>1845</v>
      </c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>W9446078</v>
      </c>
      <c r="B300" s="132">
        <v>46078</v>
      </c>
      <c r="C300" s="7">
        <f>IF(BS_CONTROLE[[#This Row],[DATA]]="","",WEEKNUM(BS_CONTROLE[[#This Row],[DATA]]))</f>
        <v>9</v>
      </c>
      <c r="D300" s="45" t="s">
        <v>258</v>
      </c>
      <c r="E300" s="175">
        <v>359</v>
      </c>
      <c r="F300" s="133" t="s">
        <v>184</v>
      </c>
      <c r="G300" s="8" t="str">
        <f>IF(D300="","*",VLOOKUP(F300,BS_ATIVIDADE[#All],3,FALSE))</f>
        <v>OUTROS</v>
      </c>
      <c r="H300" s="134" t="s">
        <v>960</v>
      </c>
      <c r="I300" s="134" t="s">
        <v>925</v>
      </c>
      <c r="J300" s="150">
        <v>103</v>
      </c>
      <c r="K300" s="150">
        <v>2029</v>
      </c>
      <c r="L300" s="71">
        <v>1806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300" s="134">
        <v>0.33333333333333331</v>
      </c>
      <c r="P300" s="134">
        <v>4.1666666666666664E-2</v>
      </c>
      <c r="Q300" s="71">
        <v>13</v>
      </c>
      <c r="R300" s="9" t="str">
        <f>IFERROR(_xlfn.XLOOKUP(F300, BS_ATIVIDADE[ATIVIDADE],BS_ATIVIDADE[UNIDADE] ), "*")</f>
        <v>VAGÕES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0" s="188" t="str">
        <f>IFERROR(_xlfn.XLOOKUP(J300, BASE_MAPA!$B$2:$B$420, BASE_MAPA!$G$2:$G$420), "ERRO")</f>
        <v>OURO VERDE - LIGAÇÃO</v>
      </c>
      <c r="V300" s="142" t="s">
        <v>1846</v>
      </c>
      <c r="W300" s="134" t="s">
        <v>1847</v>
      </c>
      <c r="X300" s="151" t="s">
        <v>1005</v>
      </c>
      <c r="Y300" s="129"/>
      <c r="Z300" s="129"/>
      <c r="AA300" s="71">
        <v>1</v>
      </c>
      <c r="AB300" s="59" t="s">
        <v>997</v>
      </c>
      <c r="AC300" s="59"/>
      <c r="AD300" s="134">
        <v>0.29166666666666669</v>
      </c>
      <c r="AE300" s="71">
        <v>9206</v>
      </c>
      <c r="AF300" s="71"/>
      <c r="AG300" s="71"/>
      <c r="AH300" s="42"/>
      <c r="AI300" s="119" t="str">
        <f>IF(BS_CONTROLE[[#This Row],[Atividade]]=0, "-", BS_CONTROLE[[#This Row],[Atividade]])</f>
        <v>PDM - PEDRA - CARGA</v>
      </c>
      <c r="AJ300" s="8" t="str">
        <f>IF(D300="","*",VLOOKUP(AI300,BS_ATIVIDADE[#Data],3,FALSE))</f>
        <v>OUTROS</v>
      </c>
      <c r="AK300" s="166" t="str">
        <f>IF(BS_CONTROLE[[#This Row],[Local - Partida]]=0, "-", BS_CONTROLE[[#This Row],[Local - Partida]])</f>
        <v>PSS</v>
      </c>
      <c r="AL300" s="166" t="str">
        <f>IF(BS_CONTROLE[[#This Row],[Local - Encerramento]]=0, "-", BS_CONTROLE[[#This Row],[Local - Encerramento]])</f>
        <v>PSG</v>
      </c>
      <c r="AM300" s="166" t="str">
        <f>IF(BS_CONTROLE[[#This Row],[Entre - Estações]]=0, "-", BS_CONTROLE[[#This Row],[Entre - Estações]])</f>
        <v>PPR-PSS</v>
      </c>
      <c r="AN300" s="166" t="str">
        <f>IF(BS_CONTROLE[[#This Row],[SB]]=0, "-", BS_CONTROLE[[#This Row],[SB]])</f>
        <v>PSSK271</v>
      </c>
      <c r="AO300" s="167">
        <f>IF(BS_CONTROLE[[#This Row],[SUB]]=0, "-", BS_CONTROLE[[#This Row],[SUB]])</f>
        <v>103</v>
      </c>
      <c r="AP300" s="168">
        <f>IF(BS_CONTROLE[[#This Row],[KM - Inicio]]=0, "-", BS_CONTROLE[[#This Row],[KM - Inicio]])</f>
        <v>2029</v>
      </c>
      <c r="AQ300" s="168">
        <f>IF(BS_CONTROLE[[#This Row],[KM - Fim]]=0, "-", BS_CONTROLE[[#This Row],[KM - Fim]])</f>
        <v>1806</v>
      </c>
      <c r="AR300" s="32"/>
      <c r="AS300" s="32"/>
      <c r="AT300" s="32"/>
      <c r="AU300" s="32"/>
      <c r="AV300" s="32"/>
      <c r="AW300" s="32"/>
      <c r="AX300" s="32"/>
      <c r="AY300" s="174">
        <f>IF(D300="","*",IFERROR(IF(ISODD(COUNT(AS300:AX300)),"ERRO",SUM((AT300-AS300),(AV300-AU300),(AX300-AW300))),"ERRO"))</f>
        <v>0</v>
      </c>
      <c r="AZ300" s="11"/>
      <c r="BA300" s="60"/>
      <c r="BB300" s="9" t="str">
        <f>IFERROR(_xlfn.XLOOKUP(AI300, BS_ATIVIDADE[ATIVIDADE],BS_ATIVIDADE[UNIDADE] ), "*")</f>
        <v>VAGÕES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0" s="189" t="str">
        <f>IFERROR(_xlfn.XLOOKUP(AO300, BASE_MAPA!$B$2:$B$420, BASE_MAPA!$G$2:$G$420), "ERRO")</f>
        <v>OURO VERDE - LIGAÇÃO</v>
      </c>
      <c r="BF300" s="169" t="str">
        <f>IF(BS_CONTROLE[[#This Row],[Responsavel pelo boletim]]=0, "-", BS_CONTROLE[[#This Row],[Responsavel pelo boletim]])</f>
        <v>Lucas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Produção e Intervalo</v>
      </c>
      <c r="BR300" s="15">
        <f t="shared" si="34"/>
        <v>0</v>
      </c>
      <c r="BS300" s="15">
        <f t="shared" si="35"/>
        <v>0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1848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1849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0.3611111111111111</v>
      </c>
      <c r="AT303" s="32">
        <v>0.45833333333333331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9.722222222222221E-2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1</v>
      </c>
      <c r="BI303" s="14"/>
      <c r="BJ303" s="14" t="s">
        <v>1850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0.77777777777777768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V86</v>
      </c>
      <c r="B307" s="132"/>
      <c r="C307" s="7" t="str">
        <f>IF(BS_CONTROLE[[#This Row],[DATA]]="","",WEEKNUM(BS_CONTROLE[[#This Row],[DATA]]))</f>
        <v/>
      </c>
      <c r="D307" s="45" t="s">
        <v>217</v>
      </c>
      <c r="E307" s="175">
        <v>366</v>
      </c>
      <c r="F307" s="133"/>
      <c r="G307" s="8" t="e">
        <f>IF(D307="","*",VLOOKUP(F307,BS_ATIVIDADE[#All],3,FALSE))</f>
        <v>#N/A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e">
        <f>IF(D307="","*",VLOOKUP(AI307,BS_ATIVIDADE[#Data],3,FALSE))</f>
        <v>#N/A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>BRUNO (TF-525)</v>
      </c>
      <c r="B309" s="132"/>
      <c r="C309" s="7" t="str">
        <f>IF(BS_CONTROLE[[#This Row],[DATA]]="","",WEEKNUM(BS_CONTROLE[[#This Row],[DATA]]))</f>
        <v/>
      </c>
      <c r="D309" s="45" t="s">
        <v>278</v>
      </c>
      <c r="E309" s="175">
        <v>368</v>
      </c>
      <c r="F309" s="133" t="s">
        <v>193</v>
      </c>
      <c r="G309" s="8" t="str">
        <f>IF(D309="","*",VLOOKUP(F309,BS_ATIVIDADE[#All],3,FALSE))</f>
        <v>SOLDA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Nº DE SOLDA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PDM - SOLDA</v>
      </c>
      <c r="AJ309" s="8" t="str">
        <f>IF(D309="","*",VLOOKUP(AI309,BS_ATIVIDADE[#Data],3,FALSE))</f>
        <v>SOLDA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>
        <f>IF(D309="","*",IFERROR(IF(ISODD(COUNT(AS309:AX309)),"ERRO",SUM((AT309-AS309),(AV309-AU309),(AX309-AW309))),"ERRO"))</f>
        <v>0</v>
      </c>
      <c r="AZ309" s="11"/>
      <c r="BA309" s="60"/>
      <c r="BB309" s="9" t="str">
        <f>IFERROR(_xlfn.XLOOKUP(AI309, BS_ATIVIDADE[ATIVIDADE],BS_ATIVIDADE[UNIDADE] ), "*")</f>
        <v>Nº DE SOLDA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FRANCISCO (TF-19)</v>
      </c>
      <c r="B311" s="132"/>
      <c r="C311" s="7" t="str">
        <f>IF(BS_CONTROLE[[#This Row],[DATA]]="","",WEEKNUM(BS_CONTROLE[[#This Row],[DATA]]))</f>
        <v/>
      </c>
      <c r="D311" s="45" t="s">
        <v>306</v>
      </c>
      <c r="E311" s="175">
        <v>370</v>
      </c>
      <c r="F311" s="133" t="s">
        <v>200</v>
      </c>
      <c r="G311" s="8" t="str">
        <f>IF(D311="","*",VLOOKUP(F311,BS_ATIVIDADE[#All],3,FALSE))</f>
        <v>TRILHO - SUBSTITUIÇÂO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PDM - SUBSTITUIÇÃO - TRILHO</v>
      </c>
      <c r="AJ311" s="8" t="str">
        <f>IF(D311="","*",VLOOKUP(AI311,BS_ATIVIDADE[#Data],3,FALSE))</f>
        <v>TRILHO - SUBSTITUIÇÂO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>W70</v>
      </c>
      <c r="B314" s="132"/>
      <c r="C314" s="7" t="str">
        <f>IF(BS_CONTROLE[[#This Row],[DATA]]="","",WEEKNUM(BS_CONTROLE[[#This Row],[DATA]]))</f>
        <v/>
      </c>
      <c r="D314" s="45" t="s">
        <v>249</v>
      </c>
      <c r="E314" s="175">
        <v>373</v>
      </c>
      <c r="F314" s="133" t="s">
        <v>186</v>
      </c>
      <c r="G314" s="8" t="str">
        <f>IF(D314="","*",VLOOKUP(F314,BS_ATIVIDADE[#All],3,FALSE))</f>
        <v>PEDRA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VAGÕES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PEDRA - DESCARGA</v>
      </c>
      <c r="AJ314" s="8" t="str">
        <f>IF(D314="","*",VLOOKUP(AI314,BS_ATIVIDADE[#Data],3,FALSE))</f>
        <v>PEDRA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VAGÕES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>A60</v>
      </c>
      <c r="B316" s="132"/>
      <c r="C316" s="7" t="str">
        <f>IF(BS_CONTROLE[[#This Row],[DATA]]="","",WEEKNUM(BS_CONTROLE[[#This Row],[DATA]]))</f>
        <v/>
      </c>
      <c r="D316" s="45" t="s">
        <v>106</v>
      </c>
      <c r="E316" s="175">
        <v>375</v>
      </c>
      <c r="F316" s="133" t="s">
        <v>32</v>
      </c>
      <c r="G316" s="8" t="str">
        <f>IF(D316="","*",VLOOKUP(F316,BS_ATIVIDADE[#All],3,FALSE))</f>
        <v>DETECÇÃO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KM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DETECÇÃO - RONDA 7 DIAS</v>
      </c>
      <c r="AJ316" s="8" t="str">
        <f>IF(D316="","*",VLOOKUP(AI316,BS_ATIVIDADE[#Data],3,FALSE))</f>
        <v>DETECÇÃO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0</v>
      </c>
      <c r="AZ316" s="11"/>
      <c r="BA316" s="60"/>
      <c r="BB316" s="9" t="str">
        <f>IFERROR(_xlfn.XLOOKUP(AI316, BS_ATIVIDADE[ATIVIDADE],BS_ATIVIDADE[UNIDADE] ), "*")</f>
        <v>KM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>V48</v>
      </c>
      <c r="B318" s="132"/>
      <c r="C318" s="7" t="str">
        <f>IF(BS_CONTROLE[[#This Row],[DATA]]="","",WEEKNUM(BS_CONTROLE[[#This Row],[DATA]]))</f>
        <v/>
      </c>
      <c r="D318" s="45" t="s">
        <v>183</v>
      </c>
      <c r="E318" s="175">
        <v>377</v>
      </c>
      <c r="F318" s="133" t="s">
        <v>142</v>
      </c>
      <c r="G318" s="8" t="str">
        <f>IF(D318="","*",VLOOKUP(F318,BS_ATIVIDADE[#All],3,FALSE))</f>
        <v>MODERNIZAÇÃO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M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MODERNIZAÇÃO - SOCADORA</v>
      </c>
      <c r="AJ318" s="8" t="str">
        <f>IF(D318="","*",VLOOKUP(AI318,BS_ATIVIDADE[#Data],3,FALSE))</f>
        <v>MODERNIZAÇÃO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M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>W48</v>
      </c>
      <c r="B320" s="132"/>
      <c r="C320" s="7" t="str">
        <f>IF(BS_CONTROLE[[#This Row],[DATA]]="","",WEEKNUM(BS_CONTROLE[[#This Row],[DATA]]))</f>
        <v/>
      </c>
      <c r="D320" s="45" t="s">
        <v>239</v>
      </c>
      <c r="E320" s="175">
        <v>379</v>
      </c>
      <c r="F320" s="133" t="s">
        <v>100</v>
      </c>
      <c r="G320" s="8" t="str">
        <f>IF(D320="","*",VLOOKUP(F320,BS_ATIVIDADE[#All],3,FALSE))</f>
        <v>MECANIZAÇÃO - DOL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M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MECANIZAÇÃO - DOL</v>
      </c>
      <c r="AJ320" s="8" t="str">
        <f>IF(D320="","*",VLOOKUP(AI320,BS_ATIVIDADE[#Data],3,FALSE))</f>
        <v>MECANIZAÇÃO - DOL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>
        <f>IF(D320="","*",IFERROR(IF(ISODD(COUNT(AS320:AX320)),"ERRO",SUM((AT320-AS320),(AV320-AU320),(AX320-AW320))),"ERRO"))</f>
        <v>0</v>
      </c>
      <c r="AZ320" s="11"/>
      <c r="BA320" s="60"/>
      <c r="BB320" s="9" t="str">
        <f>IFERROR(_xlfn.XLOOKUP(AI320, BS_ATIVIDADE[ATIVIDADE],BS_ATIVIDADE[UNIDADE] ), "*")</f>
        <v>M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>E46</v>
      </c>
      <c r="B324" s="132"/>
      <c r="C324" s="7" t="str">
        <f>IF(BS_CONTROLE[[#This Row],[DATA]]="","",WEEKNUM(BS_CONTROLE[[#This Row],[DATA]]))</f>
        <v/>
      </c>
      <c r="D324" s="45" t="s">
        <v>158</v>
      </c>
      <c r="E324" s="175">
        <v>383</v>
      </c>
      <c r="F324" s="133" t="s">
        <v>25</v>
      </c>
      <c r="G324" s="8" t="str">
        <f>IF(D324="","*",VLOOKUP(F324,BS_ATIVIDADE[#All],3,FALSE))</f>
        <v>OUTROS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BINÁRIO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DESLOCAMENTO</v>
      </c>
      <c r="AJ324" s="8" t="str">
        <f>IF(D324="","*",VLOOKUP(AI324,BS_ATIVIDADE[#Data],3,FALSE))</f>
        <v>OUTROS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BINÁRIO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>A88</v>
      </c>
      <c r="B325" s="132"/>
      <c r="C325" s="7" t="str">
        <f>IF(BS_CONTROLE[[#This Row],[DATA]]="","",WEEKNUM(BS_CONTROLE[[#This Row],[DATA]]))</f>
        <v/>
      </c>
      <c r="D325" s="45" t="s">
        <v>143</v>
      </c>
      <c r="E325" s="175">
        <v>384</v>
      </c>
      <c r="F325" s="133" t="s">
        <v>84</v>
      </c>
      <c r="G325" s="8" t="str">
        <f>IF(D325="","*",VLOOKUP(F325,BS_ATIVIDADE[#All],3,FALSE))</f>
        <v>OUTROS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BINÁRIO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INSPEÇÃO AUTO DE LINHA</v>
      </c>
      <c r="AJ325" s="8" t="str">
        <f>IF(D325="","*",VLOOKUP(AI325,BS_ATIVIDADE[#Data],3,FALSE))</f>
        <v>OUTROS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>
        <f>IF(D325="","*",IFERROR(IF(ISODD(COUNT(AS325:AX325)),"ERRO",SUM((AT325-AS325),(AV325-AU325),(AX325-AW325))),"ERRO"))</f>
        <v>0</v>
      </c>
      <c r="AZ325" s="11"/>
      <c r="BA325" s="60"/>
      <c r="BB325" s="9" t="str">
        <f>IFERROR(_xlfn.XLOOKUP(AI325, BS_ATIVIDADE[ATIVIDADE],BS_ATIVIDADE[UNIDADE] ), "*")</f>
        <v>BINÁRIO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>E18</v>
      </c>
      <c r="B326" s="132"/>
      <c r="C326" s="7" t="str">
        <f>IF(BS_CONTROLE[[#This Row],[DATA]]="","",WEEKNUM(BS_CONTROLE[[#This Row],[DATA]]))</f>
        <v/>
      </c>
      <c r="D326" s="45" t="s">
        <v>1628</v>
      </c>
      <c r="E326" s="175">
        <v>385</v>
      </c>
      <c r="F326" s="133" t="s">
        <v>13</v>
      </c>
      <c r="G326" s="8" t="str">
        <f>IF(D326="","*",VLOOKUP(F326,BS_ATIVIDADE[#All],3,FALSE))</f>
        <v>CAMINHÂO - SOLDA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Nº DE SOLDA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CAMINHÃO DE SOLDA</v>
      </c>
      <c r="AJ326" s="8" t="str">
        <f>IF(D326="","*",VLOOKUP(AI326,BS_ATIVIDADE[#Data],3,FALSE))</f>
        <v>CAMINHÂO - SOLDA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>
        <f>IF(D326="","*",IFERROR(IF(ISODD(COUNT(AS326:AX326)),"ERRO",SUM((AT326-AS326),(AV326-AU326),(AX326-AW326))),"ERRO"))</f>
        <v>0</v>
      </c>
      <c r="AZ326" s="11"/>
      <c r="BA326" s="60"/>
      <c r="BB326" s="9" t="str">
        <f>IFERROR(_xlfn.XLOOKUP(AI326, BS_ATIVIDADE[ATIVIDADE],BS_ATIVIDADE[UNIDADE] ), "*")</f>
        <v>Nº DE SOLDA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1851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1852</v>
      </c>
      <c r="E3" s="176" t="s">
        <v>1853</v>
      </c>
      <c r="F3" s="176" t="s">
        <v>1854</v>
      </c>
      <c r="G3" s="176" t="s">
        <v>1855</v>
      </c>
      <c r="H3" s="176" t="s">
        <v>1856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1857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1858</v>
      </c>
      <c r="D12" s="177">
        <v>9049</v>
      </c>
      <c r="E12" s="178">
        <v>46044</v>
      </c>
      <c r="F12" s="180" t="s">
        <v>1859</v>
      </c>
      <c r="G12" s="177" t="s">
        <v>1860</v>
      </c>
      <c r="H12" s="177"/>
    </row>
    <row r="13" spans="3:8">
      <c r="C13" s="177" t="s">
        <v>1858</v>
      </c>
      <c r="D13" s="177">
        <v>9044</v>
      </c>
      <c r="E13" s="178">
        <v>46044</v>
      </c>
      <c r="F13" s="180" t="s">
        <v>1861</v>
      </c>
      <c r="G13" s="177" t="s">
        <v>1862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1863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1864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1865</v>
      </c>
      <c r="B3" s="91" t="s">
        <v>1866</v>
      </c>
      <c r="C3" s="91" t="s">
        <v>7</v>
      </c>
      <c r="D3" s="92" t="s">
        <v>1212</v>
      </c>
      <c r="E3" s="92" t="s">
        <v>366</v>
      </c>
      <c r="F3" s="92" t="s">
        <v>1867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1868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TVI2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Oportunidade</v>
      </c>
      <c r="C319" s="95" t="str">
        <f>IF(FN_MC!Z300="","*",FN_MC!Z300)</f>
        <v>*</v>
      </c>
      <c r="D319" s="96" t="str">
        <f>IF(FN_MC!S300="","*",FN_MC!S300)</f>
        <v>MALHA CENTRAL</v>
      </c>
      <c r="E319" s="96" t="str">
        <f>IF(FN_MC!T300="","*",FN_MC!T300)</f>
        <v>PRV-POV</v>
      </c>
      <c r="F319" s="96">
        <f>IF(FN_MC!B300="","*",FN_MC!B300)</f>
        <v>46078</v>
      </c>
      <c r="G319" s="96" t="str">
        <f>IF(FN_MC!D300="","*",FN_MC!D300)</f>
        <v>W94</v>
      </c>
      <c r="H319" s="96" t="str">
        <f>IF(FN_MC!F300="","*",FN_MC!F300)</f>
        <v>PDM - PEDRA - CARGA</v>
      </c>
      <c r="I319" s="96" t="str">
        <f>IF(FN_MC!H300="","*",FN_MC!H300)</f>
        <v>PSS</v>
      </c>
      <c r="J319" s="96" t="str">
        <f>IF(FN_MC!I300="","*",FN_MC!I300)</f>
        <v>PSG</v>
      </c>
      <c r="K319" s="96" t="str">
        <f>IF(FN_MC!M300="","*",FN_MC!M300)</f>
        <v>PPR-PSS</v>
      </c>
      <c r="L319" s="186" t="str">
        <f>IF(FN_MC!N300="","*",FN_MC!N300)</f>
        <v>PSSK271</v>
      </c>
      <c r="M319" s="97">
        <f>IF(FN_MC!J300="","*",FN_MC!J300)</f>
        <v>103</v>
      </c>
      <c r="N319" s="173">
        <f>IF(FN_MC!K300="","*",FN_MC!K300)</f>
        <v>2029</v>
      </c>
      <c r="O319" s="173">
        <f>IF(FN_MC!L300="","*",FN_MC!L300)</f>
        <v>1806</v>
      </c>
      <c r="P319" s="107">
        <f>IF(FN_MC!O300="","*",FN_MC!O300)</f>
        <v>0.33333333333333331</v>
      </c>
      <c r="Q319" s="107">
        <f>IF(FN_MC!P300="","*",FN_MC!P300)</f>
        <v>4.1666666666666664E-2</v>
      </c>
      <c r="R319" s="96" t="str">
        <f>IF(FN_MC!Q300="","*",CONCATENATE(FN_MC!Q300," ",FN_MC!R300))</f>
        <v>13 VAGÕES</v>
      </c>
      <c r="S319" s="96" t="str">
        <f>IF(FN_MC!V300="","*",FN_MC!V300)</f>
        <v>Lucas</v>
      </c>
      <c r="T319" s="96" t="str">
        <f>IF(FN_MC!W300="","*",FN_MC!W300)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V86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BRUNO (TF-525)</v>
      </c>
      <c r="H328" s="96" t="str">
        <f>IF(FN_MC!F309="","*",FN_MC!F309)</f>
        <v>PDM - SOLDA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FRANCISCO (TF-19)</v>
      </c>
      <c r="H330" s="96" t="str">
        <f>IF(FN_MC!F311="","*",FN_MC!F311)</f>
        <v>PDM - SUBSTITUIÇÃO - TRILHO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W70</v>
      </c>
      <c r="H333" s="96" t="str">
        <f>IF(FN_MC!F314="","*",FN_MC!F314)</f>
        <v>PDM - PEDRA - DESCARGA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A60</v>
      </c>
      <c r="H335" s="96" t="str">
        <f>IF(FN_MC!F316="","*",FN_MC!F316)</f>
        <v>DETECÇÃO - RONDA 7 DIAS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>
        <f ca="1">_xlfn.XLOOKUP(G335&amp;$U$3,BS_CONTROLE[CHAVE],BS_CONTROLE[Quantidade_11],"-")</f>
        <v>125</v>
      </c>
      <c r="V335" s="98">
        <f ca="1">_xlfn.XLOOKUP(G335&amp;$V$3,BS_CONTROLE[CHAVE],BS_CONTROLE[Quantidade_11],"-")</f>
        <v>180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V48</v>
      </c>
      <c r="H337" s="96" t="str">
        <f>IF(FN_MC!F318="","*",FN_MC!F318)</f>
        <v>MODERNIZAÇÃO - SOCADORA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W48</v>
      </c>
      <c r="H339" s="96" t="str">
        <f>IF(FN_MC!F320="","*",FN_MC!F320)</f>
        <v>MECANIZAÇÃO - DOL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E46</v>
      </c>
      <c r="H343" s="96" t="str">
        <f>IF(FN_MC!F324="","*",FN_MC!F324)</f>
        <v>DESLOCAMENTO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A88</v>
      </c>
      <c r="H344" s="96" t="str">
        <f>IF(FN_MC!F325="","*",FN_MC!F325)</f>
        <v>INSPEÇÃO AUTO DE LINHA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E18</v>
      </c>
      <c r="H345" s="96" t="str">
        <f>IF(FN_MC!F326="","*",FN_MC!F326)</f>
        <v>CAMINHÃO DE SOLDA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1869</v>
      </c>
      <c r="C2" s="83" t="s">
        <v>1197</v>
      </c>
      <c r="D2" s="83" t="s">
        <v>1199</v>
      </c>
      <c r="E2" s="83" t="s">
        <v>1870</v>
      </c>
      <c r="F2" s="83" t="s">
        <v>1871</v>
      </c>
      <c r="G2" s="83" t="s">
        <v>1872</v>
      </c>
      <c r="H2" s="83" t="s">
        <v>1873</v>
      </c>
      <c r="I2" s="83" t="s">
        <v>1874</v>
      </c>
      <c r="J2" s="83" t="s">
        <v>1875</v>
      </c>
      <c r="K2" s="109" t="s">
        <v>1876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>
        <f>IF(FN_MC!B300="","*",FN_MC!B300)</f>
        <v>46078</v>
      </c>
      <c r="D361" s="101" t="str">
        <f>IF(FN_MC!D300="","*",FN_MC!D300)</f>
        <v>W94</v>
      </c>
      <c r="E361" s="101" t="str">
        <f>IF(FN_MC!H300="","*",FN_MC!H300)</f>
        <v>PSS</v>
      </c>
      <c r="F361" s="114" t="str">
        <f>IF(FN_MC!M300="","*",FN_MC!M300)</f>
        <v>PPR-PSS</v>
      </c>
      <c r="G361" s="101" t="str">
        <f>IF(FN_MC!I300="","*",FN_MC!I300)</f>
        <v>PSG</v>
      </c>
      <c r="H361" s="101" t="str">
        <f>IF(FN_MC!AB300="","*",FN_MC!AB300)</f>
        <v>FIXO</v>
      </c>
      <c r="I361" s="101" t="str">
        <f>IF(FN_MC!AC300="","*",FN_MC!AC300)</f>
        <v>*</v>
      </c>
      <c r="J361" s="102">
        <f>IF(FN_MC!AA300="","*",FN_MC!AA300)</f>
        <v>1</v>
      </c>
      <c r="K361" s="112">
        <f>IF(FN_MC!AD300="","*",FN_MC!AD300)</f>
        <v>0.29166666666666669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V86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BRUNO (TF-525)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FRANCISCO (TF-19)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W70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A60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V48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W48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E46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A88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E18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1877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1878</v>
      </c>
      <c r="C4" s="181" t="s">
        <v>1879</v>
      </c>
      <c r="D4" s="181" t="s">
        <v>1880</v>
      </c>
      <c r="E4" s="181" t="s">
        <v>1881</v>
      </c>
      <c r="F4" s="181" t="s">
        <v>366</v>
      </c>
      <c r="G4" s="181" t="s">
        <v>1882</v>
      </c>
    </row>
    <row r="5" spans="2:7">
      <c r="B5" s="182" t="s">
        <v>1883</v>
      </c>
      <c r="C5" s="182">
        <v>309525</v>
      </c>
      <c r="D5" s="182" t="s">
        <v>1884</v>
      </c>
      <c r="E5" s="182" t="s">
        <v>249</v>
      </c>
      <c r="F5" s="182" t="s">
        <v>1885</v>
      </c>
      <c r="G5" s="183">
        <v>46296</v>
      </c>
    </row>
    <row r="6" spans="2:7">
      <c r="B6" s="182" t="s">
        <v>1886</v>
      </c>
      <c r="C6" s="182">
        <v>257410</v>
      </c>
      <c r="D6" s="182" t="s">
        <v>1887</v>
      </c>
      <c r="E6" s="182" t="s">
        <v>249</v>
      </c>
      <c r="F6" s="182" t="s">
        <v>1885</v>
      </c>
      <c r="G6" s="183"/>
    </row>
    <row r="7" spans="2:7">
      <c r="B7" s="182" t="s">
        <v>1483</v>
      </c>
      <c r="C7" s="182">
        <v>256875</v>
      </c>
      <c r="D7" s="182" t="s">
        <v>1888</v>
      </c>
      <c r="E7" s="182" t="s">
        <v>249</v>
      </c>
      <c r="F7" s="182" t="s">
        <v>1885</v>
      </c>
      <c r="G7" s="183">
        <v>46296</v>
      </c>
    </row>
    <row r="8" spans="2:7">
      <c r="B8" s="182" t="s">
        <v>1889</v>
      </c>
      <c r="C8" s="182">
        <v>257278</v>
      </c>
      <c r="D8" s="182" t="s">
        <v>1890</v>
      </c>
      <c r="E8" s="182" t="s">
        <v>240</v>
      </c>
      <c r="F8" s="182" t="s">
        <v>1891</v>
      </c>
      <c r="G8" s="183">
        <v>46235</v>
      </c>
    </row>
    <row r="9" spans="2:7">
      <c r="B9" s="182" t="s">
        <v>1892</v>
      </c>
      <c r="C9" s="182">
        <v>261794</v>
      </c>
      <c r="D9" s="182" t="s">
        <v>1893</v>
      </c>
      <c r="E9" s="182" t="s">
        <v>240</v>
      </c>
      <c r="F9" s="182" t="s">
        <v>1891</v>
      </c>
      <c r="G9" s="183">
        <v>46082</v>
      </c>
    </row>
    <row r="10" spans="2:7">
      <c r="B10" s="182" t="s">
        <v>1894</v>
      </c>
      <c r="C10" s="182">
        <v>257033</v>
      </c>
      <c r="D10" s="182" t="s">
        <v>1895</v>
      </c>
      <c r="E10" s="182" t="s">
        <v>240</v>
      </c>
      <c r="F10" s="182" t="s">
        <v>480</v>
      </c>
      <c r="G10" s="182" t="s">
        <v>1896</v>
      </c>
    </row>
    <row r="11" spans="2:7">
      <c r="B11" s="182" t="s">
        <v>1897</v>
      </c>
      <c r="C11" s="182">
        <v>396578</v>
      </c>
      <c r="D11" s="182" t="s">
        <v>1898</v>
      </c>
      <c r="E11" s="182" t="s">
        <v>240</v>
      </c>
      <c r="F11" s="182" t="s">
        <v>480</v>
      </c>
      <c r="G11" s="182" t="s">
        <v>1896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1899</v>
      </c>
      <c r="D5" s="273"/>
      <c r="E5" s="273"/>
      <c r="F5" s="273"/>
      <c r="G5" s="273"/>
      <c r="H5" s="273"/>
      <c r="I5" s="273"/>
      <c r="J5" s="274"/>
      <c r="K5" s="275" t="s">
        <v>1900</v>
      </c>
      <c r="L5" s="276"/>
      <c r="M5" s="276"/>
      <c r="N5" s="276"/>
      <c r="O5" s="277" t="s">
        <v>1901</v>
      </c>
      <c r="P5" s="278"/>
      <c r="Q5" s="279"/>
    </row>
    <row r="6" spans="1:17" s="81" customFormat="1" ht="15.75" customHeight="1">
      <c r="A6" s="75" t="s">
        <v>1867</v>
      </c>
      <c r="B6" s="82" t="s">
        <v>1866</v>
      </c>
      <c r="C6" s="83" t="s">
        <v>1212</v>
      </c>
      <c r="D6" s="84" t="s">
        <v>1213</v>
      </c>
      <c r="E6" s="83" t="s">
        <v>1902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1903</v>
      </c>
      <c r="M6" s="116" t="s">
        <v>29</v>
      </c>
      <c r="N6" s="117" t="s">
        <v>1207</v>
      </c>
      <c r="O6" s="159" t="s">
        <v>1250</v>
      </c>
      <c r="P6" s="128"/>
      <c r="Q6" s="138" t="s">
        <v>1904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>
        <f>IF(FN_MC!B300="","*",FN_MC!B300)</f>
        <v>46078</v>
      </c>
      <c r="B365" s="86" t="str">
        <f>IF(FN_MC!X300="","*",FN_MC!X300)</f>
        <v>Oportunidade</v>
      </c>
      <c r="C365" s="87" t="str">
        <f>IF(FN_MC!S300="","*",FN_MC!S300)</f>
        <v>MALHA CENTRAL</v>
      </c>
      <c r="D365" s="87" t="str">
        <f>IF(FN_MC!T300="","*",FN_MC!T300)</f>
        <v>PRV-POV</v>
      </c>
      <c r="E365" s="87" t="str">
        <f>IF(FN_MC!D300="","*",FN_MC!D300)</f>
        <v>W94</v>
      </c>
      <c r="F365" s="87" t="str">
        <f>IF(FN_MC!H300="","*",FN_MC!H300)</f>
        <v>PSS</v>
      </c>
      <c r="G365" s="87" t="str">
        <f>IF(FN_MC!M300="","*",FN_MC!M300)</f>
        <v>PPR-PSS</v>
      </c>
      <c r="H365" s="125">
        <f>IF(FN_MC!K300="","*",FN_MC!K300)</f>
        <v>2029</v>
      </c>
      <c r="I365" s="110">
        <f>IF(FN_MC!O300="","*",FN_MC!O300)</f>
        <v>0.33333333333333331</v>
      </c>
      <c r="J365" s="110">
        <f>IF(FN_MC!P300="","*",FN_MC!P300)</f>
        <v>4.1666666666666664E-2</v>
      </c>
      <c r="K365" s="118" t="str">
        <f>IF(FN_MC!AK300="","*",FN_MC!AK300)</f>
        <v>PSS</v>
      </c>
      <c r="L365" s="118" t="str">
        <f>IF(FN_MC!AM300="","*",FN_MC!AM300)</f>
        <v>PPR-PSS</v>
      </c>
      <c r="M365" s="118">
        <f>IF(FN_MC!AP300="","*",FN_MC!AP300)</f>
        <v>2029</v>
      </c>
      <c r="N365" s="118" t="str">
        <f>IF(FN_MC!AM300="","*",FN_MC!AM300)</f>
        <v>PPR-PSS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1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V86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BRUNO (TF-525)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FRANCISCO (TF-19)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W70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A60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V48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W48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E46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A88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E18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1905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2026-02-25T15:15:55Z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