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420" documentId="8_{B6337239-1A00-434D-AAD0-422EA1FEB5AE}" xr6:coauthVersionLast="47" xr6:coauthVersionMax="47" xr10:uidLastSave="{077BF5C0-A50D-4696-88FB-4059F21F981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7" i="1" l="1"/>
  <c r="G148" i="1"/>
  <c r="G149" i="1"/>
  <c r="G150" i="1"/>
  <c r="G151" i="1"/>
  <c r="G152" i="1"/>
  <c r="G153" i="1"/>
  <c r="G154" i="1"/>
  <c r="G155" i="1"/>
  <c r="G146" i="1"/>
  <c r="G156" i="1"/>
  <c r="G157" i="1"/>
  <c r="G158" i="1"/>
  <c r="G159" i="1"/>
  <c r="G160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48" i="1"/>
  <c r="AY130" i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R128" i="16" s="1"/>
  <c r="S131" i="1" a="1"/>
  <c r="S131" i="1" s="1"/>
  <c r="D128" i="16" s="1"/>
  <c r="T131" i="1" a="1"/>
  <c r="T131" i="1" s="1"/>
  <c r="E128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L136" i="16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R139" i="16" s="1"/>
  <c r="S142" i="1" a="1"/>
  <c r="S142" i="1" s="1"/>
  <c r="D139" i="16" s="1"/>
  <c r="T142" i="1" a="1"/>
  <c r="T142" i="1" s="1"/>
  <c r="E139" i="16" s="1"/>
  <c r="AI142" i="1"/>
  <c r="BB142" i="1" s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R141" i="16" s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K142" i="16"/>
  <c r="L142" i="16"/>
  <c r="R145" i="1"/>
  <c r="S145" i="1" a="1"/>
  <c r="S145" i="1" s="1"/>
  <c r="D142" i="16" s="1"/>
  <c r="T145" i="1" a="1"/>
  <c r="T145" i="1" s="1"/>
  <c r="E142" i="16" s="1"/>
  <c r="AI145" i="1"/>
  <c r="BB145" i="1" s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C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C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C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C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C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C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C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C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C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C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C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C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C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C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60" i="16" l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9" i="1"/>
  <c r="AJ145" i="1"/>
  <c r="AJ83" i="1"/>
  <c r="AJ153" i="1"/>
  <c r="AJ150" i="1"/>
  <c r="AJ148" i="1"/>
  <c r="AJ100" i="1"/>
  <c r="AJ131" i="1"/>
  <c r="K62" i="16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2" i="1"/>
  <c r="AJ139" i="1"/>
  <c r="AJ144" i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<sst xmlns="http://schemas.openxmlformats.org/spreadsheetml/2006/main" count="5842" uniqueCount="1606">
  <si>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</si>
  <si>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</si>
  <si>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</si>
  <si>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</si>
  <si>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</si>
  <si>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</si>
  <si>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</si>
  <si>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</si>
  <si>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</si>
  <si>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</si>
  <si>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</si>
  <si>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</si>
  <si>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</si>
  <si>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</si>
  <si>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</si>
  <si>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</si>
  <si>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</si>
  <si>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</si>
  <si>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</si>
  <si>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</si>
  <si>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</si>
  <si>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</si>
  <si>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</si>
  <si>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</si>
  <si>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</si>
  <si>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</si>
  <si>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</si>
  <si>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</si>
  <si>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</si>
  <si>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</si>
  <si>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</si>
  <si>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</si>
  <si>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</si>
  <si>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</si>
  <si>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</si>
  <si>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</si>
  <si>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</si>
  <si>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</si>
  <si>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</si>
  <si>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</si>
  <si>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</si>
  <si>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</si>
  <si>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</si>
  <si>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</si>
  <si>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</si>
  <si>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</si>
  <si>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</si>
  <si>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</si>
  <si>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</si>
  <si>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</si>
  <si>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</si>
  <si>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</si>
  <si>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</si>
  <si>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</si>
  <si>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</si>
  <si>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</si>
  <si>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</si>
  <si>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</si>
  <si>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</si>
  <si>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</si>
  <si>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</si>
  <si>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</si>
  <si>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</si>
  <si>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</si>
  <si>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</si>
  <si>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</si>
  <si>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</si>
  <si>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</si>
  <si>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</si>
  <si>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</si>
  <si>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</si>
  <si>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</si>
  <si>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</si>
  <si>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</si>
  <si>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</si>
  <si>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</si>
  <si>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</si>
  <si>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</si>
  <si>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</si>
  <si>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</si>
  <si>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</si>
  <si>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</si>
  <si>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</si>
  <si>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</si>
  <si>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</si>
  <si>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</si>
  <si>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</si>
  <si>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</si>
  <si>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</si>
  <si>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</si>
  <si>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</si>
  <si>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</si>
  <si>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</si>
  <si>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</si>
  <si>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</si>
  <si>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</si>
  <si>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</si>
  <si>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</si>
  <si>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</si>
  <si>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</si>
  <si>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</si>
  <si>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</si>
  <si>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</si>
  <si>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</si>
  <si>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</si>
  <si>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</si>
  <si>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</si>
  <si>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</si>
  <si>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</si>
  <si>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</si>
  <si>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</si>
  <si>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</si>
  <si>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</si>
  <si>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</si>
  <si>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</si>
  <si>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</si>
  <si>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</si>
  <si>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</si>
  <si>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</si>
  <si>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</si>
  <si>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</si>
  <si>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</si>
  <si>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</si>
  <si>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</si>
  <si>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</si>
  <si>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</si>
  <si>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</si>
  <si>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</si>
  <si>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</si>
  <si>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</si>
  <si>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</si>
  <si>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</si>
  <si>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</si>
  <si>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</si>
  <si>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</si>
  <si>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</si>
  <si>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</si>
  <si>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</si>
  <si>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</si>
  <si>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</si>
  <si>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</si>
  <si>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</si>
  <si>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</si>
  <si>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</si>
  <si>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</si>
  <si>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</si>
  <si>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</si>
  <si>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</si>
  <si>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</si>
  <si>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</si>
  <si>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</si>
  <si>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</si>
  <si>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</si>
  <si>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</si>
  <si>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</si>
  <si>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</si>
  <si>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</si>
  <si>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</si>
  <si>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</si>
  <si>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</si>
  <si>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</si>
  <si>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</si>
  <si>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</si>
  <si>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</si>
  <si>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</si>
  <si>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</si>
  <si>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</si>
  <si>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</si>
  <si>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</si>
  <si>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</si>
  <si>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</si>
  <si>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</si>
  <si>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</si>
  <si>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</si>
  <si>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</si>
  <si>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</si>
  <si>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</si>
  <si>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</si>
  <si>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</si>
  <si>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</si>
  <si>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</si>
  <si>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</si>
  <si>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</si>
  <si>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</si>
  <si>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</si>
  <si>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</si>
  <si>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</si>
  <si>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</si>
  <si>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</si>
  <si>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</si>
  <si>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</si>
  <si>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</si>
  <si>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</si>
  <si>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</si>
  <si>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</si>
  <si>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</si>
  <si>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</si>
  <si>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</si>
  <si>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</si>
  <si>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</si>
  <si>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</si>
  <si>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</si>
  <si>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</si>
  <si>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</si>
  <si>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</si>
  <si>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</si>
  <si>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</si>
  <si>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</si>
  <si>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</si>
  <si>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</si>
  <si>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</si>
  <si>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</si>
  <si>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</si>
  <si>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</si>
  <si>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</si>
  <si>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</si>
  <si>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</si>
  <si>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</si>
  <si>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</si>
  <si>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</si>
  <si>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</si>
  <si>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</si>
  <si>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</si>
  <si>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</si>
  <si>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</si>
  <si>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</si>
  <si>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</si>
  <si>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</si>
  <si>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</si>
  <si>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</si>
  <si>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</si>
  <si>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</si>
  <si>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</si>
  <si>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</si>
  <si>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</si>
  <si>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</si>
  <si>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</si>
  <si>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</si>
  <si>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</si>
  <si>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</si>
  <si>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</si>
  <si>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</si>
  <si>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</si>
  <si>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</si>
  <si>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</si>
  <si>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</si>
  <si>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</si>
  <si>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</si>
  <si>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</si>
  <si>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</si>
  <si>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</si>
  <si>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</si>
  <si>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</si>
  <si>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</si>
  <si>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</si>
  <si>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</si>
  <si>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</si>
  <si>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</si>
  <si>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</si>
  <si>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</si>
  <si>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</si>
  <si>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</si>
  <si>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</si>
  <si>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</si>
  <si>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</si>
  <si>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</si>
  <si>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</si>
  <si>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</si>
  <si>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</si>
  <si>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</si>
  <si>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</si>
  <si>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</si>
  <si>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</si>
  <si>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</si>
  <si>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</si>
  <si>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</si>
  <si>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</si>
  <si>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</si>
  <si>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</si>
  <si>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</si>
  <si>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</si>
  <si>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</si>
  <si>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</si>
  <si>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</si>
  <si>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</si>
  <si>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</si>
  <si>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</si>
  <si>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</si>
  <si>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</si>
  <si>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</si>
  <si>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</si>
  <si>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</si>
  <si>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</si>
  <si>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</si>
  <si>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</si>
  <si>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</si>
  <si>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</si>
  <si>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</si>
  <si>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</si>
  <si>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</si>
  <si>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</si>
  <si>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</si>
  <si>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</si>
  <si>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</si>
  <si>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</si>
  <si>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</si>
  <si>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</si>
  <si>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</si>
  <si>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</si>
  <si>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</si>
  <si>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</si>
  <si>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</si>
  <si>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</si>
  <si>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</si>
  <si>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</si>
  <si>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</si>
  <si>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</si>
  <si>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</si>
  <si>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</si>
  <si>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</si>
  <si>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</si>
  <si>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</si>
  <si>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</si>
  <si>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</si>
  <si>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</si>
  <si>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</si>
  <si>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</si>
  <si>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</si>
  <si>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</si>
  <si>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</si>
  <si>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</si>
  <si>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</si>
  <si>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</si>
  <si>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</si>
  <si>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</si>
  <si>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</si>
  <si>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</si>
  <si>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</si>
  <si>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</si>
  <si>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</si>
  <si>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</si>
  <si>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</si>
  <si>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</si>
  <si>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</si>
  <si>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</si>
  <si>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</si>
  <si>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</si>
  <si>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</si>
  <si>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</si>
  <si>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</si>
  <si>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</si>
  <si>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</si>
  <si>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</si>
  <si>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</si>
  <si>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</si>
  <si>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</si>
  <si>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</si>
  <si>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</si>
  <si>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</si>
  <si>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</si>
  <si>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</si>
  <si>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</si>
  <si>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</si>
  <si>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</si>
  <si>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</si>
  <si>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</si>
  <si>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</si>
  <si>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</si>
  <si>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</si>
  <si>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</si>
  <si>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</si>
  <si>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</si>
  <si>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</si>
  <si>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</si>
  <si>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</si>
  <si>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</si>
  <si>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</si>
  <si>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</si>
  <si>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</si>
  <si>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</si>
  <si>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</si>
  <si>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</si>
  <si>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</si>
  <si>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</si>
  <si>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</si>
  <si>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</si>
  <si>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</si>
  <si>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</si>
  <si>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</si>
  <si>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</si>
  <si>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</si>
  <si>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</si>
  <si>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</si>
  <si>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</si>
  <si>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</si>
  <si>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</si>
  <si>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</si>
  <si>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</si>
  <si>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</si>
  <si>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</si>
  <si>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</si>
  <si>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</si>
  <si>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</si>
  <si>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</si>
  <si>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</si>
  <si>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</si>
  <si>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</si>
  <si>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</si>
  <si>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</si>
  <si>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</si>
  <si>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</si>
  <si>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</si>
  <si>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</si>
  <si>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</si>
  <si>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</si>
  <si>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</si>
  <si>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</si>
  <si>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</si>
  <si>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</si>
  <si>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</si>
  <si>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</si>
  <si>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</si>
  <si>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</si>
  <si>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</si>
  <si>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</si>
  <si>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</si>
  <si>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</si>
  <si>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</si>
  <si>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</si>
  <si>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</si>
  <si>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</si>
  <si>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</si>
  <si>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</si>
  <si>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</si>
  <si>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</si>
  <si>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</si>
  <si>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</si>
  <si>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</si>
  <si>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</si>
  <si>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</si>
  <si>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</si>
  <si>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</si>
  <si>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</si>
  <si>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</si>
  <si>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</si>
  <si>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</si>
  <si>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</si>
  <si>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</si>
  <si>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</si>
  <si>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</si>
  <si>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</si>
  <si>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</si>
  <si>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</si>
  <si>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</si>
  <si>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</si>
  <si>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</si>
  <si>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</si>
  <si>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</si>
  <si>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</si>
  <si>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</si>
  <si>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</si>
  <si>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</si>
  <si>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</si>
  <si>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</si>
  <si>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</si>
  <si>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</si>
  <si>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</si>
  <si>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</si>
  <si>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</si>
  <si>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</si>
  <si>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</si>
  <si>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</si>
  <si>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</si>
  <si>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</si>
  <si>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</si>
  <si>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</si>
  <si>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</si>
  <si>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</si>
  <si>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</si>
  <si>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</si>
  <si>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</si>
  <si>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</si>
  <si>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</si>
  <si>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</si>
  <si>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</si>
  <si>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</si>
  <si>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</si>
  <si>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</si>
  <si>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</si>
  <si>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</si>
  <si>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</si>
  <si>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</si>
  <si>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</si>
  <si>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</si>
  <si>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</si>
  <si>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</si>
  <si>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</si>
  <si>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</si>
  <si>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</si>
  <si>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</si>
  <si>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</si>
  <si>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</si>
  <si>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</si>
  <si>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</si>
  <si>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</si>
  <si>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</si>
  <si>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</si>
  <si>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</si>
  <si>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</si>
  <si>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</si>
  <si>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</si>
  <si>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</si>
  <si>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</si>
  <si>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</si>
  <si>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</si>
  <si>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</si>
  <si>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</si>
  <si>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</si>
  <si>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</si>
  <si>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</si>
  <si>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</si>
  <si>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</si>
  <si>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</si>
  <si>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</si>
  <si>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</si>
  <si>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</si>
  <si>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</si>
  <si>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</si>
  <si>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</si>
  <si>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</si>
  <si>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</si>
  <si>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</si>
  <si>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</si>
  <si>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</si>
  <si>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</si>
  <si>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</si>
  <si>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</si>
  <si>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</si>
  <si>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</si>
  <si>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</si>
  <si>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</si>
  <si>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</si>
  <si>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</si>
  <si>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</si>
  <si>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</si>
  <si>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</si>
  <si>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</si>
  <si>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</si>
  <si>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</si>
  <si>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</si>
  <si>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</si>
  <si>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</si>
  <si>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</si>
  <si>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</si>
  <si>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</si>
  <si>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</si>
  <si>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</si>
  <si>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</si>
  <si>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</si>
  <si>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</si>
  <si>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</si>
  <si>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</si>
  <si>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</si>
  <si>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</si>
  <si>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</si>
  <si>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</si>
  <si>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</si>
  <si>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</si>
  <si>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</si>
  <si>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</si>
  <si>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</si>
  <si>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</si>
  <si>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</si>
  <si>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</si>
  <si>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</si>
  <si>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</si>
  <si>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</si>
  <si>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</si>
  <si>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</si>
  <si>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</si>
  <si>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</si>
  <si>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</si>
  <si>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</si>
  <si>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</si>
  <si>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</si>
  <si>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</si>
  <si>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</si>
  <si>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</si>
  <si>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</si>
  <si>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</si>
  <si>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</si>
  <si>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</si>
  <si>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</si>
  <si>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</si>
  <si>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</si>
  <si>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</si>
  <si>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</si>
  <si>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</si>
  <si>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</si>
  <si>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</si>
  <si>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</si>
  <si>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</si>
  <si>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</si>
  <si>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</si>
  <si>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</si>
  <si>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</si>
  <si>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</si>
  <si>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</si>
  <si>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</si>
  <si>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</si>
  <si>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</si>
  <si>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</si>
  <si>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</si>
  <si>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</si>
  <si>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</si>
  <si>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</si>
  <si>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</si>
  <si>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</si>
  <si>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</si>
  <si>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</si>
  <si>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</si>
  <si>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</si>
  <si>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</si>
  <si>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</si>
  <si>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</si>
  <si>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</si>
  <si>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</si>
  <si>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</si>
  <si>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</si>
  <si>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</si>
  <si>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</si>
  <si>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</si>
  <si>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</si>
  <si>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</si>
  <si>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</si>
  <si>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</si>
  <si>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</si>
  <si>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</si>
  <si>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</si>
  <si>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</si>
  <si>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</si>
  <si>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</si>
  <si>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</si>
  <si>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</si>
  <si>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</si>
  <si>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</si>
  <si>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</si>
  <si>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</si>
  <si>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</si>
  <si>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</si>
  <si>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</si>
  <si>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</si>
  <si>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</si>
  <si>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</si>
  <si>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</si>
  <si>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</si>
  <si>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</si>
  <si>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</si>
  <si>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</si>
  <si>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</si>
  <si>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</si>
  <si>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</si>
  <si>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</si>
  <si>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</si>
  <si>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</si>
  <si>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</si>
  <si>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</si>
  <si>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</si>
  <si>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</si>
  <si>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</si>
  <si>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</si>
  <si>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</si>
  <si>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</si>
  <si>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</si>
  <si>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</si>
  <si>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</si>
  <si>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</si>
  <si>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</si>
  <si>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</si>
  <si>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</si>
  <si>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</si>
  <si>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</si>
  <si>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</si>
  <si>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</si>
  <si>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</si>
  <si>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</si>
  <si>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</si>
  <si>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</si>
  <si>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</si>
  <si>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</si>
  <si>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</si>
  <si>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</si>
  <si>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</si>
  <si>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</si>
  <si>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</si>
  <si>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</si>
  <si>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</si>
  <si>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</si>
  <si>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</si>
  <si>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</si>
  <si>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</si>
  <si>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</si>
  <si>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</si>
  <si>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</si>
  <si>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</si>
  <si>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</si>
  <si>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</si>
  <si>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</si>
  <si>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</si>
  <si>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</si>
  <si>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</si>
  <si>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</si>
  <si>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</si>
  <si>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</si>
  <si>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</si>
  <si>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</si>
  <si>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</si>
  <si>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</si>
  <si>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</si>
  <si>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</si>
  <si>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</si>
  <si>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</si>
  <si>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</si>
  <si>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</si>
  <si>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</si>
  <si>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</si>
  <si>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</si>
  <si>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</si>
  <si>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</si>
  <si>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</si>
  <si>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</si>
  <si>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</si>
  <si>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</si>
  <si>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</si>
  <si>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</si>
  <si>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</si>
  <si>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</si>
  <si>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</si>
  <si>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</si>
  <si>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</si>
  <si>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</si>
  <si>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</si>
  <si>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</si>
  <si>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</si>
  <si>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</si>
  <si>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</si>
  <si>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</si>
  <si>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</si>
  <si>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</si>
  <si>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</si>
  <si>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</si>
  <si>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</si>
  <si>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</si>
  <si>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</si>
  <si>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</si>
  <si>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</si>
  <si>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</si>
  <si>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</si>
  <si>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</si>
  <si>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</si>
  <si>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</si>
  <si>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</si>
  <si>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</si>
  <si>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</si>
  <si>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</si>
  <si>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</si>
  <si>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</si>
  <si>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</si>
  <si>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</si>
  <si>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</si>
  <si>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</si>
  <si>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</si>
  <si>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</si>
  <si>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</si>
  <si>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</si>
  <si>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</si>
  <si>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</si>
  <si>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</si>
  <si>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</si>
  <si>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</si>
  <si>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</si>
  <si>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</si>
  <si>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</si>
  <si>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</si>
  <si>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</si>
  <si>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</si>
  <si>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</si>
  <si>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</si>
  <si>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</si>
  <si>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</si>
  <si>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</si>
  <si>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</si>
  <si>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</si>
  <si>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</si>
  <si>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</si>
  <si>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</si>
  <si>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</si>
  <si>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</si>
  <si>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</si>
  <si>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</si>
  <si>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</si>
  <si>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</si>
  <si>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</si>
  <si>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</si>
  <si>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</si>
  <si>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</si>
  <si>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</si>
  <si>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</si>
  <si>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</si>
  <si>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</si>
  <si>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</si>
  <si>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</si>
  <si>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</si>
  <si>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</si>
  <si>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</si>
  <si>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</si>
  <si>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</si>
  <si>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</si>
  <si>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</si>
  <si>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</si>
  <si>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</si>
  <si>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</si>
  <si>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</si>
  <si>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</si>
  <si>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</si>
  <si>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</si>
  <si>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</si>
  <si>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</si>
  <si>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</si>
  <si>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</si>
  <si>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</si>
  <si>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</si>
  <si>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</si>
  <si>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</si>
  <si>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</si>
  <si>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</si>
  <si>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</si>
  <si>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</si>
  <si>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</si>
  <si>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</si>
  <si>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</si>
  <si>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</si>
  <si>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</si>
  <si>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</si>
  <si>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</si>
  <si>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</si>
  <si>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</si>
  <si>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</si>
  <si>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</si>
  <si>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</si>
  <si>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</si>
  <si>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</si>
  <si>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</si>
  <si>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</si>
  <si>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</si>
  <si>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</si>
  <si>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</si>
  <si>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</si>
  <si>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</si>
  <si>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</si>
  <si>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</si>
  <si>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</si>
  <si>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</si>
  <si>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</si>
  <si>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</si>
  <si>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</si>
  <si>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</si>
  <si>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</si>
  <si>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</si>
  <si>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</si>
  <si>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</si>
  <si>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</si>
  <si>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</si>
  <si>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</si>
  <si>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</si>
  <si>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</si>
  <si>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</si>
  <si>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</si>
  <si>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</si>
  <si>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</si>
  <si>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</si>
  <si>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</si>
  <si>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</si>
  <si>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</si>
  <si>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</si>
  <si>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</si>
  <si>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</si>
  <si>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</si>
  <si>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</si>
  <si>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</si>
  <si>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</si>
  <si>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</si>
  <si>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</si>
  <si>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</si>
  <si>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</si>
  <si>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</si>
  <si>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</si>
  <si>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</si>
  <si>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</si>
  <si>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</si>
  <si>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</si>
  <si>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</si>
  <si>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</si>
  <si>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</si>
  <si>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</si>
  <si>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</si>
  <si>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</si>
  <si>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</si>
  <si>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</si>
  <si>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</si>
  <si>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</si>
  <si>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</si>
  <si>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</si>
  <si>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</si>
  <si>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</si>
  <si>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</si>
  <si>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</si>
  <si>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</si>
  <si>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</si>
  <si>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</si>
  <si>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</si>
  <si>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</si>
  <si>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</si>
  <si>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</si>
  <si>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</si>
  <si>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</si>
  <si>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</si>
  <si>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</si>
  <si>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</si>
  <si>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</si>
  <si>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</si>
  <si>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</si>
  <si>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</si>
  <si>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</si>
  <si>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</si>
  <si>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</si>
  <si>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</si>
  <si>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</si>
  <si>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</si>
  <si>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</si>
  <si>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</si>
  <si>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</si>
  <si>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</si>
  <si>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</si>
  <si>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</si>
  <si>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</si>
  <si>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</si>
  <si>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</si>
  <si>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</si>
  <si>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</si>
  <si>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</si>
  <si>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</si>
  <si>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</si>
  <si>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</si>
  <si>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</si>
  <si>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</si>
  <si>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</si>
  <si>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</si>
  <si>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</si>
  <si>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</si>
  <si>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</si>
  <si>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</si>
  <si>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</si>
  <si>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</si>
  <si>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</si>
  <si>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</si>
  <si>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</si>
  <si>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</si>
  <si>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</si>
  <si>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</si>
  <si>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</si>
  <si>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</si>
  <si>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</si>
  <si>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</si>
  <si>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</si>
  <si>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</si>
  <si>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</si>
  <si>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</si>
  <si>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</si>
  <si>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</si>
  <si>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</si>
  <si>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</si>
  <si>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</si>
  <si>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</si>
  <si>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</si>
  <si>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</si>
  <si>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</si>
  <si>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</si>
  <si>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</si>
  <si>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</si>
  <si>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</si>
  <si>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</si>
  <si>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</si>
  <si>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</si>
  <si>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</si>
  <si>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</si>
  <si>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</si>
  <si>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</si>
  <si>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</si>
  <si>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</si>
  <si>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</si>
  <si>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</si>
  <si>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</si>
  <si>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</si>
  <si>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</si>
  <si>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</si>
  <si>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</si>
  <si>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</si>
  <si>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</si>
  <si>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</si>
  <si>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</si>
  <si>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</si>
  <si>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</si>
  <si>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</si>
  <si>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</si>
  <si>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</si>
  <si>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</si>
  <si>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</si>
  <si>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</si>
  <si>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</si>
  <si>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</si>
  <si>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</si>
  <si>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</si>
  <si>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</si>
  <si>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</si>
  <si>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</si>
  <si>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</si>
  <si>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</si>
  <si>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</si>
  <si>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</si>
  <si>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</si>
  <si>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</si>
  <si>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</si>
  <si>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</si>
  <si>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</si>
  <si>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</si>
  <si>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</si>
  <si>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</si>
  <si>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</si>
  <si>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</si>
  <si>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</si>
  <si>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</si>
  <si>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</si>
  <si>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</si>
  <si>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</si>
  <si>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</si>
  <si>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</si>
  <si>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</si>
  <si>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</si>
  <si>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</si>
  <si>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</si>
  <si>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</si>
  <si>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</si>
  <si>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</si>
  <si>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</si>
  <si>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</si>
  <si>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</si>
  <si>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</si>
  <si>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</si>
  <si>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</si>
  <si>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</si>
  <si>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</si>
  <si>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</si>
  <si>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</si>
  <si>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</si>
  <si>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</si>
  <si>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</si>
  <si>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</si>
  <si>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</si>
  <si>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</si>
  <si>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</si>
  <si>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</si>
  <si>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</si>
  <si>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</si>
  <si>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</si>
  <si>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</si>
  <si>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</si>
  <si>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</si>
  <si>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</si>
  <si>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</si>
  <si>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</si>
  <si>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</si>
  <si>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</si>
  <si>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</si>
  <si>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</si>
  <si>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</si>
  <si>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</si>
  <si>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</si>
  <si>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</si>
  <si>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</si>
  <si>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</si>
  <si>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</si>
  <si>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</si>
  <si>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</si>
  <si>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</si>
  <si>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</si>
  <si>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</si>
  <si>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</si>
  <si>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</si>
  <si>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</si>
  <si>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</si>
  <si>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</si>
  <si>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</si>
  <si>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</si>
  <si>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</si>
  <si>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</si>
  <si>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</si>
  <si>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</si>
  <si>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</si>
  <si>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</si>
  <si>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</si>
  <si>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</si>
  <si>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</si>
  <si>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</si>
  <si>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</si>
  <si>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</si>
  <si>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</si>
  <si>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</si>
  <si>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</si>
  <si>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</si>
  <si>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</si>
  <si>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</si>
  <si>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</si>
  <si>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</si>
  <si>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</si>
  <si>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</si>
  <si>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</si>
  <si>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</si>
  <si>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</si>
  <si>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</si>
  <si>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</si>
  <si>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</si>
  <si>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</si>
  <si>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</si>
  <si>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</si>
  <si>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</si>
  <si>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</si>
  <si>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</si>
  <si>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</si>
  <si>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</si>
  <si>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</si>
  <si>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</si>
  <si>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</si>
  <si>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</si>
  <si>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</si>
  <si>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</si>
  <si>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</si>
  <si>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</si>
  <si>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</si>
  <si>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</si>
  <si>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</si>
  <si>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</si>
  <si>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</si>
  <si>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</si>
  <si>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</si>
  <si>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</si>
  <si>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</si>
  <si>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</si>
  <si>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</si>
  <si>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</si>
  <si>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</si>
  <si>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</si>
  <si>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</si>
  <si>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</si>
  <si>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</si>
  <si>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</si>
  <si>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</si>
  <si>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</si>
  <si>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</si>
  <si>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</si>
  <si>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</si>
  <si>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</si>
  <si>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</si>
  <si>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</si>
  <si>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</si>
  <si>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</si>
  <si>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</si>
  <si>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</si>
  <si>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</si>
  <si>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</si>
  <si>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</si>
  <si>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</si>
  <si>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</si>
  <si>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</si>
  <si>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</si>
  <si>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</si>
  <si>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</si>
  <si>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</si>
  <si>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</si>
  <si>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</si>
  <si>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</si>
  <si>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</si>
  <si>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</si>
  <si>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</si>
  <si>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</si>
  <si>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</si>
  <si>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</si>
  <si>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</si>
  <si>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</si>
  <si>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</si>
  <si>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</si>
  <si>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</si>
  <si>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</si>
  <si>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</si>
  <si>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</si>
  <si>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</si>
  <si>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</si>
  <si>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</si>
  <si>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</si>
  <si>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</si>
  <si>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</si>
  <si>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</si>
  <si>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</si>
  <si>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</si>
  <si>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</si>
  <si>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</si>
  <si>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</si>
  <si>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</si>
  <si>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</si>
  <si>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</si>
  <si>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</si>
  <si>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</si>
  <si>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</si>
  <si>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</si>
  <si>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</si>
  <si>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</si>
  <si>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</si>
  <si>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</si>
  <si>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</si>
  <si>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</si>
  <si>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</si>
  <si>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</si>
  <si>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</si>
  <si>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</si>
  <si>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</si>
  <si>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</si>
  <si>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</si>
  <si>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</si>
  <si>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</si>
  <si>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</si>
  <si>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</si>
  <si>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</si>
  <si>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</si>
  <si>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</si>
  <si>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</si>
  <si>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</si>
  <si>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</si>
  <si>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</si>
  <si>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</si>
  <si>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</si>
  <si>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</si>
  <si>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</si>
  <si>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</si>
  <si>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</si>
  <si>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</si>
  <si>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</si>
  <si>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</si>
  <si>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</si>
  <si>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</si>
  <si>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</si>
  <si>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</si>
  <si>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</si>
  <si>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</si>
  <si>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</si>
  <si>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</si>
  <si>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</si>
  <si>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</si>
  <si>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</si>
  <si>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</si>
  <si>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</si>
  <si>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</si>
  <si>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</si>
  <si>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</si>
  <si>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</si>
  <si>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</si>
  <si>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</si>
  <si>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</si>
  <si>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</si>
  <si>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</si>
  <si>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</si>
  <si>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</si>
  <si>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</si>
  <si>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</si>
  <si>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</si>
  <si>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</si>
  <si>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</si>
  <si>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</si>
  <si>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</si>
  <si>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</si>
  <si>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</si>
  <si>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</si>
  <si>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</si>
  <si>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</si>
  <si>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</si>
  <si>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</si>
  <si>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</si>
  <si>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</si>
  <si>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</si>
  <si>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</si>
  <si>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</si>
  <si>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</si>
  <si>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</si>
  <si>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</si>
  <si>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</si>
  <si>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</si>
  <si>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</si>
  <si>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</si>
  <si>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</si>
  <si>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</si>
  <si>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</si>
  <si>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</si>
  <si>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</si>
  <si>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</si>
  <si>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</si>
  <si>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</si>
  <si>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</si>
  <si>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</si>
  <si>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</si>
  <si>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</si>
  <si>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</si>
  <si>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</si>
  <si>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</si>
  <si>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</si>
  <si>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</si>
  <si>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</si>
  <si>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</si>
  <si>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</si>
  <si>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</si>
  <si>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</si>
  <si>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</si>
  <si>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</si>
  <si>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</si>
  <si>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</si>
  <si>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</si>
  <si>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</si>
  <si>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</si>
  <si>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</si>
  <si>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</si>
  <si>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</si>
  <si>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</si>
  <si>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</si>
  <si>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</si>
  <si>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</si>
  <si>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</si>
  <si>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</si>
  <si>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</si>
  <si>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</si>
  <si>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</si>
  <si>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</si>
  <si>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</si>
  <si>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</si>
  <si>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</si>
  <si>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</si>
  <si>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</si>
  <si>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</si>
  <si>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</si>
  <si>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</si>
  <si>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</si>
  <si>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</si>
  <si>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</si>
  <si>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</si>
  <si>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</si>
  <si>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</si>
  <si>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</si>
  <si>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</si>
  <si>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</si>
  <si>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</si>
  <si>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</si>
  <si>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</si>
  <si>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</si>
  <si>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</si>
  <si>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</si>
  <si>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</si>
  <si>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</si>
  <si>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</si>
  <si>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</si>
  <si>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</si>
  <si>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</si>
  <si>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</si>
  <si>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</si>
  <si>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</si>
  <si>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</si>
  <si>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</si>
  <si>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</si>
  <si>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</si>
  <si>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</si>
  <si>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</si>
  <si>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</si>
  <si>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</si>
  <si>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</si>
  <si>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</si>
  <si>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</si>
  <si>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</si>
  <si>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</si>
  <si>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</si>
  <si>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</si>
  <si>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</si>
  <si>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</si>
  <si>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</si>
  <si>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</si>
  <si>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</si>
  <si>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</si>
  <si>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</si>
  <si>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</si>
  <si>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</si>
  <si>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</si>
  <si>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</si>
  <si>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</si>
  <si>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</si>
  <si>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</si>
  <si>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</si>
  <si>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</si>
  <si>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</si>
  <si>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</si>
  <si>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</si>
  <si>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</si>
  <si>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</si>
  <si>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</si>
  <si>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</si>
  <si>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</si>
  <si>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</si>
  <si>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</si>
  <si>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</si>
  <si>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</si>
  <si>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</si>
  <si>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</si>
  <si>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</si>
  <si>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</si>
  <si>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</si>
  <si>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</si>
  <si>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</si>
  <si>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</si>
  <si>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</si>
  <si>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</si>
  <si>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</si>
  <si>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</si>
  <si>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</si>
  <si>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</si>
  <si>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</si>
  <si>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</si>
  <si>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</si>
  <si>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</si>
  <si>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</si>
  <si>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</si>
  <si>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</si>
  <si>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</si>
  <si>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</si>
  <si>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</si>
  <si>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</si>
  <si>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</si>
  <si>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</si>
  <si>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</si>
  <si>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</si>
  <si>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</si>
  <si>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</si>
  <si>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</si>
  <si>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</si>
  <si>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</si>
  <si>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</si>
  <si>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</si>
  <si>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</si>
  <si>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</si>
  <si>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</si>
  <si>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</si>
  <si>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</si>
  <si>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</si>
  <si>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</si>
  <si>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</si>
  <si>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</si>
  <si>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</si>
  <si>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</si>
  <si>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</si>
  <si>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</si>
  <si>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</si>
  <si>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</si>
  <si>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</si>
  <si>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</si>
  <si>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</si>
  <si>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</si>
  <si>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</si>
  <si>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</si>
  <si>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</si>
  <si>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</si>
  <si>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</si>
  <si>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</si>
  <si>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</si>
  <si>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</si>
  <si>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</si>
  <si>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</si>
  <si>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</si>
  <si>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</si>
  <si>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</si>
  <si>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</si>
  <si>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</si>
  <si>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</si>
  <si>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</si>
  <si>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</si>
  <si>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</si>
  <si>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</si>
  <si>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</si>
  <si>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</si>
  <si>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</si>
  <si>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</si>
  <si>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</si>
  <si>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</si>
  <si>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</si>
  <si>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</si>
  <si>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</si>
  <si>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</si>
  <si>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</si>
  <si>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</si>
  <si>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</si>
  <si>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</si>
  <si>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</si>
  <si>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</si>
  <si>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</si>
  <si>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</si>
  <si>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</si>
  <si>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</si>
  <si>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</si>
  <si>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</si>
  <si>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</si>
  <si>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Previsão de MC1 as 10:30h</t>
  </si>
  <si>
    <t>MC1 09:33, faixa após W70 as  12:30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</si>
  <si>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</si>
  <si>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</si>
  <si>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</si>
  <si>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</si>
  <si>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</si>
  <si>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</si>
  <si>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</si>
  <si>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</si>
  <si>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</si>
  <si>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</si>
  <si>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</si>
  <si>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</si>
  <si>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</si>
  <si>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</si>
  <si>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</si>
  <si>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</si>
  <si>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</si>
  <si>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</si>
  <si>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</si>
  <si>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</si>
  <si>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</t>
  </si>
  <si>
    <t>Pronto as 07:51h -não teve temperatura</t>
  </si>
  <si>
    <t>Pronto as 07:51h - Intervalo das 10:28h as 12:28h</t>
  </si>
  <si>
    <t xml:space="preserve"> Intervalo das 10:28h as 12:28h</t>
  </si>
  <si>
    <t>ZJU-ZDK</t>
  </si>
  <si>
    <t>ZJUZDK</t>
  </si>
  <si>
    <t>Ronda de auto</t>
  </si>
  <si>
    <t>Licença as 12:40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</si>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</sst>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Q140" activePane="topRight" state="frozen"/>
      <selection pane="topRight" activeCell="W150" sqref="W15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IF(D131="","*",IFERROR(IF(ISODD(COUNT(AS131:AX133)),"ERRO",SUM((AT131-AS131),(AV131-AU131),(AX131-AW131))),"ERRO"))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 t="s">
        <v>999</v>
      </c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>
        <v>0.39791666666666664</v>
      </c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>
        <v>1</v>
      </c>
      <c r="BI133" s="14"/>
      <c r="BJ133" s="14" t="s">
        <v>1522</v>
      </c>
      <c r="BK133" s="14" t="s">
        <v>1523</v>
      </c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1524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1525</v>
      </c>
      <c r="X134" s="152" t="s">
        <v>1005</v>
      </c>
      <c r="Y134" s="129" t="s">
        <v>1008</v>
      </c>
      <c r="Z134" s="129"/>
      <c r="AA134" s="71" t="s">
        <v>1526</v>
      </c>
      <c r="AB134" s="59" t="s">
        <v>997</v>
      </c>
      <c r="AC134" s="59"/>
      <c r="AD134" s="135">
        <v>0.29166666666666669</v>
      </c>
      <c r="AE134" s="151" t="s">
        <v>1527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651TBS/TBSPAT2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>
        <v>0.40555555555555556</v>
      </c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>
        <v>1</v>
      </c>
      <c r="BI134" s="14"/>
      <c r="BJ134" s="14" t="s">
        <v>1528</v>
      </c>
      <c r="BK134" s="14" t="s">
        <v>1529</v>
      </c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1530</v>
      </c>
      <c r="N136" s="149" t="s">
        <v>1530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1531</v>
      </c>
      <c r="X136" s="152" t="s">
        <v>1005</v>
      </c>
      <c r="Y136" s="129" t="s">
        <v>1008</v>
      </c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>
        <v>0.32916666666666666</v>
      </c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 t="s">
        <v>1532</v>
      </c>
      <c r="BK136" s="14" t="s">
        <v>1532</v>
      </c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1533</v>
      </c>
      <c r="N138" s="149" t="s">
        <v>1534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 t="s">
        <v>999</v>
      </c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>
        <v>0.33333333333333331</v>
      </c>
      <c r="AS138" s="32">
        <v>0.50902777777777775</v>
      </c>
      <c r="AT138" s="32">
        <v>0.59236111111111112</v>
      </c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8.333333333333337E-2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1</v>
      </c>
      <c r="BI138" s="14"/>
      <c r="BJ138" s="14" t="s">
        <v>1535</v>
      </c>
      <c r="BK138" s="14" t="s">
        <v>1536</v>
      </c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0.66666666666666696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>W5046066</v>
      </c>
      <c r="B139" s="133">
        <v>46066</v>
      </c>
      <c r="C139" s="7">
        <f>IF(BS_CONTROLE[[#This Row],[DATA]]="","",WEEKNUM(BS_CONTROLE[[#This Row],[DATA]]))</f>
        <v>7</v>
      </c>
      <c r="D139" s="45" t="s">
        <v>240</v>
      </c>
      <c r="E139" s="185">
        <v>155</v>
      </c>
      <c r="F139" s="134" t="s">
        <v>133</v>
      </c>
      <c r="G139" s="8" t="str">
        <f>IF(D139="","*",VLOOKUP(F139,BS_ATIVIDADE[#All],3,FALSE))</f>
        <v>MODERNIZAÇÃO</v>
      </c>
      <c r="H139" s="135" t="s">
        <v>1487</v>
      </c>
      <c r="I139" s="135" t="s">
        <v>1487</v>
      </c>
      <c r="J139" s="151">
        <v>74</v>
      </c>
      <c r="K139" s="151">
        <v>227.935</v>
      </c>
      <c r="L139" s="71">
        <v>224.25700000000001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9" s="149" t="s">
        <v>1537</v>
      </c>
      <c r="O139" s="135">
        <v>0.35416666666666669</v>
      </c>
      <c r="P139" s="135">
        <v>0.16666666666666666</v>
      </c>
      <c r="Q139" s="71">
        <v>713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1358</v>
      </c>
      <c r="W139" s="135" t="s">
        <v>1538</v>
      </c>
      <c r="X139" s="152" t="s">
        <v>1000</v>
      </c>
      <c r="Y139" s="129" t="s">
        <v>999</v>
      </c>
      <c r="Z139" s="129"/>
      <c r="AA139" s="71" t="s">
        <v>1329</v>
      </c>
      <c r="AB139" s="59" t="s">
        <v>997</v>
      </c>
      <c r="AC139" s="59" t="s">
        <v>11</v>
      </c>
      <c r="AD139" s="135">
        <v>0.29166666666666669</v>
      </c>
      <c r="AE139" s="71">
        <v>7671</v>
      </c>
      <c r="AF139" s="71">
        <v>9322</v>
      </c>
      <c r="AG139" s="71" t="s">
        <v>11</v>
      </c>
      <c r="AH139" s="42"/>
      <c r="AI139" s="119" t="str">
        <f>IF(BS_CONTROLE[[#This Row],[Atividade]]=0, "-", BS_CONTROLE[[#This Row],[Atividade]])</f>
        <v>MODERNIZAÇÃO - DORMENTE - DESCARGA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 xml:space="preserve">TCS2 </v>
      </c>
      <c r="AL139" s="175" t="str">
        <f>IF(BS_CONTROLE[[#This Row],[Local - Encerramento]]=0, "-", BS_CONTROLE[[#This Row],[Local - Encerramento]])</f>
        <v xml:space="preserve">TCS2 </v>
      </c>
      <c r="AM139" s="175" t="str">
        <f>IF(BS_CONTROLE[[#This Row],[Entre - Estações]]=0, "-", BS_CONTROLE[[#This Row],[Entre - Estações]])</f>
        <v>TVI-TJA</v>
      </c>
      <c r="AN139" s="175" t="str">
        <f>IF(BS_CONTROLE[[#This Row],[SB]]=0, "-", BS_CONTROLE[[#This Row],[SB]])</f>
        <v>TVIPAT1/213TVI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227.935</v>
      </c>
      <c r="AQ139" s="177">
        <f>IF(BS_CONTROLE[[#This Row],[KM - Fim]]=0, "-", BS_CONTROLE[[#This Row],[KM - Fim]])</f>
        <v>224.25700000000001</v>
      </c>
      <c r="AR139" s="32">
        <v>0.30833333333333335</v>
      </c>
      <c r="AS139" s="32"/>
      <c r="AT139" s="32"/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>
        <v>1</v>
      </c>
      <c r="BI139" s="14"/>
      <c r="BJ139" s="14" t="s">
        <v>1539</v>
      </c>
      <c r="BK139" s="14" t="s">
        <v>1540</v>
      </c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>W4846066</v>
      </c>
      <c r="B142" s="133">
        <v>46066</v>
      </c>
      <c r="C142" s="7">
        <f>IF(BS_CONTROLE[[#This Row],[DATA]]="","",WEEKNUM(BS_CONTROLE[[#This Row],[DATA]]))</f>
        <v>7</v>
      </c>
      <c r="D142" s="45" t="s">
        <v>239</v>
      </c>
      <c r="E142" s="185">
        <v>158</v>
      </c>
      <c r="F142" s="134" t="s">
        <v>100</v>
      </c>
      <c r="G142" s="8" t="str">
        <f>IF(D142="","*",VLOOKUP(F142,BS_ATIVIDADE[#All],3,FALSE))</f>
        <v>MECANIZAÇÃO - DOL</v>
      </c>
      <c r="H142" s="135" t="s">
        <v>387</v>
      </c>
      <c r="I142" s="135" t="s">
        <v>1487</v>
      </c>
      <c r="J142" s="151">
        <v>74</v>
      </c>
      <c r="K142" s="151">
        <v>44.32</v>
      </c>
      <c r="L142" s="71">
        <v>41.1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2" s="135">
        <v>0.35416666666666669</v>
      </c>
      <c r="P142" s="135">
        <v>0.16666666666666666</v>
      </c>
      <c r="Q142" s="71">
        <v>2000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BASE_MAPA!$B$2:$B$420, BASE_MAPA!$G$2:$G$420), "ERRO")</f>
        <v>MARCO INICIAL - ALTO ARAGUAIA</v>
      </c>
      <c r="V142" s="143" t="s">
        <v>1541</v>
      </c>
      <c r="W142" s="135" t="s">
        <v>1542</v>
      </c>
      <c r="X142" s="152" t="s">
        <v>1000</v>
      </c>
      <c r="Y142" s="129" t="s">
        <v>999</v>
      </c>
      <c r="Z142" s="129"/>
      <c r="AA142" s="71">
        <v>1</v>
      </c>
      <c r="AB142" s="59" t="s">
        <v>997</v>
      </c>
      <c r="AC142" s="59" t="s">
        <v>11</v>
      </c>
      <c r="AD142" s="135">
        <v>0.29166666666666669</v>
      </c>
      <c r="AE142" s="71">
        <v>6202</v>
      </c>
      <c r="AF142" s="71">
        <v>6201</v>
      </c>
      <c r="AG142" s="71" t="s">
        <v>11</v>
      </c>
      <c r="AH142" s="42"/>
      <c r="AI142" s="119" t="str">
        <f>IF(BS_CONTROLE[[#This Row],[Atividade]]=0, "-", BS_CONTROLE[[#This Row],[Atividade]])</f>
        <v>MECANIZAÇÃO - DOL</v>
      </c>
      <c r="AJ142" s="8" t="str">
        <f>IF(D142="","*",VLOOKUP(AI142,BS_ATIVIDADE[#Data],3,FALSE))</f>
        <v>MECANIZAÇÃO - DOL</v>
      </c>
      <c r="AK142" s="175" t="str">
        <f>IF(BS_CONTROLE[[#This Row],[Local - Partida]]=0, "-", BS_CONTROLE[[#This Row],[Local - Partida]])</f>
        <v>TAP2</v>
      </c>
      <c r="AL142" s="175" t="str">
        <f>IF(BS_CONTROLE[[#This Row],[Local - Encerramento]]=0, "-", BS_CONTROLE[[#This Row],[Local - Encerramento]])</f>
        <v xml:space="preserve">TCS2 </v>
      </c>
      <c r="AM142" s="175" t="str">
        <f>IF(BS_CONTROLE[[#This Row],[Entre - Estações]]=0, "-", BS_CONTROLE[[#This Row],[Entre - Estações]])</f>
        <v>TLG-TQI</v>
      </c>
      <c r="AN142" s="175" t="str">
        <f>IF(BS_CONTROLE[[#This Row],[SB]]=0, "-", BS_CONTROLE[[#This Row],[SB]])</f>
        <v>TLGK52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44.32</v>
      </c>
      <c r="AQ142" s="177">
        <f>IF(BS_CONTROLE[[#This Row],[KM - Fim]]=0, "-", BS_CONTROLE[[#This Row],[KM - Fim]])</f>
        <v>41.1</v>
      </c>
      <c r="AR142" s="32">
        <v>0.36249999999999999</v>
      </c>
      <c r="AS142" s="32"/>
      <c r="AT142" s="32"/>
      <c r="AU142" s="32"/>
      <c r="AV142" s="32"/>
      <c r="AW142" s="32"/>
      <c r="AX142" s="32"/>
      <c r="AY142" s="184">
        <f>IF(D142="","*",IFERROR(IF(ISODD(COUNT(AS142:AX144)),"ERRO",SUM((AT142-AS142),(AV142-AU142),(AX142-AW142))),"ERRO"))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BASE_MAPA!$B$2:$B$420, BASE_MAPA!$G$2:$G$420), "ERRO")</f>
        <v>MARCO INICIAL - ALTO ARAGUAIA</v>
      </c>
      <c r="BF142" s="178" t="str">
        <f>IF(BS_CONTROLE[[#This Row],[Responsavel pelo boletim]]=0, "-", BS_CONTROLE[[#This Row],[Responsavel pelo boletim]])</f>
        <v>Maik</v>
      </c>
      <c r="BG142" s="13"/>
      <c r="BH142" s="14">
        <v>1</v>
      </c>
      <c r="BI142" s="14"/>
      <c r="BJ142" s="14" t="s">
        <v>1543</v>
      </c>
      <c r="BK142" s="14" t="s">
        <v>1544</v>
      </c>
      <c r="BL142" s="13"/>
      <c r="BM142" s="12"/>
      <c r="BN142" s="12"/>
      <c r="BO142" s="130"/>
      <c r="BP142" s="14"/>
      <c r="BQ142" s="10" t="str">
        <f t="shared" si="13"/>
        <v>Produção e Intervalo</v>
      </c>
      <c r="BR142" s="15">
        <f t="shared" si="14"/>
        <v>0</v>
      </c>
      <c r="BS142" s="15">
        <f t="shared" si="15"/>
        <v>0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 t="s">
        <v>1008</v>
      </c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>
        <v>0.32708333333333334</v>
      </c>
      <c r="AS143" s="32">
        <v>0</v>
      </c>
      <c r="AT143" s="32">
        <v>0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0</v>
      </c>
      <c r="AZ143" s="11"/>
      <c r="BA143" s="60">
        <v>0</v>
      </c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>
        <v>2</v>
      </c>
      <c r="BI143" s="14"/>
      <c r="BJ143" s="14" t="s">
        <v>1545</v>
      </c>
      <c r="BK143" s="14" t="s">
        <v>1545</v>
      </c>
      <c r="BL143" s="13"/>
      <c r="BM143" s="12" t="s">
        <v>1031</v>
      </c>
      <c r="BN143" s="12" t="s">
        <v>1048</v>
      </c>
      <c r="BO143" s="130" t="s">
        <v>1136</v>
      </c>
      <c r="BP143" s="14"/>
      <c r="BQ143" s="10" t="str">
        <f t="shared" si="13"/>
        <v>Produção e Intervalo</v>
      </c>
      <c r="BR143" s="15">
        <f t="shared" si="14"/>
        <v>0</v>
      </c>
      <c r="BS143" s="15">
        <f t="shared" si="15"/>
        <v>0</v>
      </c>
      <c r="BT143" s="157" t="str">
        <f t="shared" si="16"/>
        <v>CondiçõesClimáticaTemperatura</v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1440</v>
      </c>
      <c r="W144" s="135" t="s">
        <v>1299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0.43611111111111112</v>
      </c>
      <c r="AT144" s="32">
        <v>0.51944444444444449</v>
      </c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8.333333333333337E-2</v>
      </c>
      <c r="AZ144" s="11"/>
      <c r="BA144" s="60">
        <v>312</v>
      </c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Anisio</v>
      </c>
      <c r="BG144" s="13"/>
      <c r="BH144" s="14">
        <v>2</v>
      </c>
      <c r="BI144" s="14"/>
      <c r="BJ144" s="14" t="s">
        <v>1546</v>
      </c>
      <c r="BK144" s="14" t="s">
        <v>1547</v>
      </c>
      <c r="BL144" s="13"/>
      <c r="BM144" s="12" t="s">
        <v>1029</v>
      </c>
      <c r="BN144" s="12" t="s">
        <v>1029</v>
      </c>
      <c r="BO144" s="130" t="s">
        <v>1029</v>
      </c>
      <c r="BP144" s="14"/>
      <c r="BQ144" s="10" t="str">
        <f t="shared" si="13"/>
        <v>Aderente</v>
      </c>
      <c r="BR144" s="15">
        <f t="shared" si="14"/>
        <v>1.0000000000000004</v>
      </c>
      <c r="BS144" s="15">
        <f t="shared" si="15"/>
        <v>1</v>
      </c>
      <c r="BT144" s="157" t="str">
        <f t="shared" si="16"/>
        <v>OKOK</v>
      </c>
    </row>
    <row r="145" spans="1:72" hidden="1">
      <c r="A145" s="44" t="str">
        <f t="shared" si="12"/>
        <v>A8846066</v>
      </c>
      <c r="B145" s="133">
        <v>46066</v>
      </c>
      <c r="C145" s="7">
        <f>IF(BS_CONTROLE[[#This Row],[DATA]]="","",WEEKNUM(BS_CONTROLE[[#This Row],[DATA]]))</f>
        <v>7</v>
      </c>
      <c r="D145" s="45" t="s">
        <v>143</v>
      </c>
      <c r="E145" s="185">
        <v>161</v>
      </c>
      <c r="F145" s="134" t="s">
        <v>25</v>
      </c>
      <c r="G145" s="8" t="str">
        <f>IF(D145="","*",VLOOKUP(F145,BS_ATIVIDADE[#All],3,FALSE))</f>
        <v>OUTROS</v>
      </c>
      <c r="H145" s="135" t="s">
        <v>762</v>
      </c>
      <c r="I145" s="135" t="s">
        <v>751</v>
      </c>
      <c r="J145" s="151">
        <v>78</v>
      </c>
      <c r="K145" s="151">
        <v>275.3</v>
      </c>
      <c r="L145" s="71" t="s">
        <v>11</v>
      </c>
      <c r="M145" s="149" t="s">
        <v>1548</v>
      </c>
      <c r="N145" s="149" t="s">
        <v>1549</v>
      </c>
      <c r="O145" s="135">
        <v>0.5</v>
      </c>
      <c r="P145" s="135">
        <v>4.1666666666666664E-2</v>
      </c>
      <c r="Q145" s="71">
        <v>1</v>
      </c>
      <c r="R145" s="9" t="str">
        <f>IFERROR(_xlfn.XLOOKUP(F145, BS_ATIVIDADE[ATIVIDADE],BS_ATIVIDADE[UNIDADE] ), "*")</f>
        <v>BINÁRIO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5" s="199" t="str">
        <f>IFERROR(_xlfn.XLOOKUP(J145, BASE_MAPA!$B$2:$B$420, BASE_MAPA!$G$2:$G$420), "ERRO")</f>
        <v>ITIRAPINA - BAURU</v>
      </c>
      <c r="V145" s="143" t="s">
        <v>1390</v>
      </c>
      <c r="W145" s="135" t="s">
        <v>1550</v>
      </c>
      <c r="X145" s="152" t="s">
        <v>1005</v>
      </c>
      <c r="Y145" s="129"/>
      <c r="Z145" s="129"/>
      <c r="AA145" s="71">
        <v>1</v>
      </c>
      <c r="AB145" s="59" t="s">
        <v>997</v>
      </c>
      <c r="AC145" s="59"/>
      <c r="AD145" s="135"/>
      <c r="AE145" s="71">
        <v>6261</v>
      </c>
      <c r="AF145" s="71"/>
      <c r="AG145" s="71"/>
      <c r="AH145" s="42"/>
      <c r="AI145" s="119" t="str">
        <f>IF(BS_CONTROLE[[#This Row],[Atividade]]=0, "-", BS_CONTROLE[[#This Row],[Atividade]])</f>
        <v>DESLOCAMENTO</v>
      </c>
      <c r="AJ145" s="8" t="str">
        <f>IF(D145="","*",VLOOKUP(AI145,BS_ATIVIDADE[#Data],3,FALSE))</f>
        <v>OUTROS</v>
      </c>
      <c r="AK145" s="175" t="str">
        <f>IF(BS_CONTROLE[[#This Row],[Local - Partida]]=0, "-", BS_CONTROLE[[#This Row],[Local - Partida]])</f>
        <v>ZJU2</v>
      </c>
      <c r="AL145" s="175" t="str">
        <f>IF(BS_CONTROLE[[#This Row],[Local - Encerramento]]=0, "-", BS_CONTROLE[[#This Row],[Local - Encerramento]])</f>
        <v>ZDK</v>
      </c>
      <c r="AM145" s="175" t="str">
        <f>IF(BS_CONTROLE[[#This Row],[Entre - Estações]]=0, "-", BS_CONTROLE[[#This Row],[Entre - Estações]])</f>
        <v>ZJU-ZDK</v>
      </c>
      <c r="AN145" s="175" t="str">
        <f>IF(BS_CONTROLE[[#This Row],[SB]]=0, "-", BS_CONTROLE[[#This Row],[SB]])</f>
        <v>ZJUZDK</v>
      </c>
      <c r="AO145" s="176">
        <f>IF(BS_CONTROLE[[#This Row],[SUB]]=0, "-", BS_CONTROLE[[#This Row],[SUB]])</f>
        <v>78</v>
      </c>
      <c r="AP145" s="177">
        <f>IF(BS_CONTROLE[[#This Row],[KM - Inicio]]=0, "-", BS_CONTROLE[[#This Row],[KM - Inicio]])</f>
        <v>275.3</v>
      </c>
      <c r="AQ145" s="177" t="str">
        <f>IF(BS_CONTROLE[[#This Row],[KM - Fim]]=0, "-", BS_CONTROLE[[#This Row],[KM - Fim]])</f>
        <v>-</v>
      </c>
      <c r="AR145" s="32">
        <v>0.52152777777777781</v>
      </c>
      <c r="AS145" s="32">
        <v>0.52777777777777779</v>
      </c>
      <c r="AT145" s="32">
        <v>0.56944444444444442</v>
      </c>
      <c r="AU145" s="32"/>
      <c r="AV145" s="32"/>
      <c r="AW145" s="32"/>
      <c r="AX145" s="32"/>
      <c r="AY145" s="184">
        <f>IF(D145="","*",IFERROR(IF(ISODD(COUNT(AS145:AX147)),"ERRO",SUM((AT145-AS145),(AV145-AU145),(AX145-AW145))),"ERRO"))</f>
        <v>4.166666666666663E-2</v>
      </c>
      <c r="AZ145" s="11"/>
      <c r="BA145" s="60"/>
      <c r="BB145" s="9" t="str">
        <f>IFERROR(_xlfn.XLOOKUP(AI145, BS_ATIVIDADE[ATIVIDADE],BS_ATIVIDADE[UNIDADE] ), "*")</f>
        <v>BINÁRIO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5" s="200" t="str">
        <f>IFERROR(_xlfn.XLOOKUP(AO145, BASE_MAPA!$B$2:$B$420, BASE_MAPA!$G$2:$G$420), "ERRO")</f>
        <v>ITIRAPINA - BAURU</v>
      </c>
      <c r="BF145" s="178" t="str">
        <f>IF(BS_CONTROLE[[#This Row],[Responsavel pelo boletim]]=0, "-", BS_CONTROLE[[#This Row],[Responsavel pelo boletim]])</f>
        <v>Wesley</v>
      </c>
      <c r="BG145" s="13"/>
      <c r="BH145" s="14">
        <v>1</v>
      </c>
      <c r="BI145" s="14"/>
      <c r="BJ145" s="14" t="s">
        <v>1551</v>
      </c>
      <c r="BK145" s="14"/>
      <c r="BL145" s="13"/>
      <c r="BM145" s="12"/>
      <c r="BN145" s="12"/>
      <c r="BO145" s="130"/>
      <c r="BP145" s="14"/>
      <c r="BQ145" s="10" t="str">
        <f t="shared" si="13"/>
        <v>Produção e Intervalo</v>
      </c>
      <c r="BR145" s="15">
        <f t="shared" si="14"/>
        <v>0.99999999999999911</v>
      </c>
      <c r="BS145" s="15">
        <f t="shared" si="15"/>
        <v>0</v>
      </c>
      <c r="BT145" s="157" t="str">
        <f t="shared" si="16"/>
        <v/>
      </c>
    </row>
    <row r="146" spans="1:72" hidden="1">
      <c r="A146" s="44" t="str">
        <f>D147&amp;B146</f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IF(D147="","*",VLOOKUP(AI146,BS_ATIVIDADE[#Data],3,FALSE))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IF(D147="","*",IFERROR(IF(ISODD(COUNT(AS146:AX148)),"ERRO",SUM((AT146-AS146),(AV146-AU146),(AX146-AW146))),"ERRO"))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/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e">
        <f>IF(#REF!="","*",VLOOKUP(AI147,BS_ATIVIDADE[#Data],3,FALSE))</f>
        <v>#REF!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e">
        <f>IF(#REF!="","*",IFERROR(IF(ISODD(COUNT(AS147:AX149)),"ERRO",SUM((AT147-AS147),(AV147-AU147),(AX147-AW147))),"ERRO"))</f>
        <v>#REF!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>D148&amp;B148</f>
        <v>V8646067</v>
      </c>
      <c r="B148" s="133">
        <v>46067</v>
      </c>
      <c r="C148" s="7">
        <f>IF(BS_CONTROLE[[#This Row],[DATA]]="","",WEEKNUM(BS_CONTROLE[[#This Row],[DATA]]))</f>
        <v>7</v>
      </c>
      <c r="D148" s="45" t="s">
        <v>217</v>
      </c>
      <c r="E148" s="185">
        <v>164</v>
      </c>
      <c r="F148" s="134" t="s">
        <v>116</v>
      </c>
      <c r="G148" s="8" t="str">
        <f>IF(D148="","*",VLOOKUP(F148,BS_ATIVIDADE[#All],3,FALSE))</f>
        <v>MECANIZAÇÃO - SOCADORA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M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MECANIZAÇÃO - SOCADORA</v>
      </c>
      <c r="AJ148" s="8" t="str">
        <f>IF(D148="","*",VLOOKUP(AI148,BS_ATIVIDADE[#Data],3,FALSE))</f>
        <v>MECANIZAÇÃO - SOCADORA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>
        <f>IF(D148="","*",IFERROR(IF(ISODD(COUNT(AS148:AX150)),"ERRO",SUM((AT148-AS148),(AV148-AU148),(AX148-AW148))),"ERRO"))</f>
        <v>0</v>
      </c>
      <c r="AZ148" s="11"/>
      <c r="BA148" s="60"/>
      <c r="BB148" s="9" t="str">
        <f>IFERROR(_xlfn.XLOOKUP(AI148, BS_ATIVIDADE[ATIVIDADE],BS_ATIVIDADE[UNIDADE] ), "*")</f>
        <v>M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e">
        <f t="shared" si="13"/>
        <v>#DIV/0!</v>
      </c>
      <c r="BR148" s="15" t="e">
        <f t="shared" si="14"/>
        <v>#DIV/0!</v>
      </c>
      <c r="BS148" s="15" t="e">
        <f t="shared" si="15"/>
        <v>#DIV/0!</v>
      </c>
      <c r="BT148" s="157" t="str">
        <f t="shared" si="16"/>
        <v/>
      </c>
    </row>
    <row r="149" spans="1:72" hidden="1">
      <c r="A149" s="44" t="str">
        <f t="shared" ref="A149:A161" si="19">D149&amp;B149</f>
        <v>BRUNO (TF-525)46067</v>
      </c>
      <c r="B149" s="133">
        <v>46067</v>
      </c>
      <c r="C149" s="7">
        <f>IF(BS_CONTROLE[[#This Row],[DATA]]="","",WEEKNUM(BS_CONTROLE[[#This Row],[DATA]]))</f>
        <v>7</v>
      </c>
      <c r="D149" s="45" t="s">
        <v>278</v>
      </c>
      <c r="E149" s="185">
        <v>165</v>
      </c>
      <c r="F149" s="134" t="s">
        <v>193</v>
      </c>
      <c r="G149" s="8" t="str">
        <f>IF(D149="","*",VLOOKUP(F149,BS_ATIVIDADE[#All],3,FALSE))</f>
        <v>SOLDA</v>
      </c>
      <c r="H149" s="135" t="s">
        <v>638</v>
      </c>
      <c r="I149" s="135" t="s">
        <v>11</v>
      </c>
      <c r="J149" s="151">
        <v>98</v>
      </c>
      <c r="K149" s="151">
        <v>662.4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9" s="135">
        <v>0.375</v>
      </c>
      <c r="P149" s="135">
        <v>6.25E-2</v>
      </c>
      <c r="Q149" s="71">
        <v>2</v>
      </c>
      <c r="R149" s="9" t="str">
        <f>IFERROR(_xlfn.XLOOKUP(F149, BS_ATIVIDADE[ATIVIDADE],BS_ATIVIDADE[UNIDADE] ), "*")</f>
        <v>Nº DE SOLDA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199" t="str">
        <f>IFERROR(_xlfn.XLOOKUP(J149, BASE_MAPA!$B$2:$B$420, BASE_MAPA!$G$2:$G$420), "ERRO")</f>
        <v>ALTO ARAGUAIA - RONDONOPOLIS</v>
      </c>
      <c r="V149" s="143" t="s">
        <v>1314</v>
      </c>
      <c r="W149" s="135" t="s">
        <v>1315</v>
      </c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PDM - SOLDA</v>
      </c>
      <c r="AJ149" s="8" t="str">
        <f>IF(D149="","*",VLOOKUP(AI149,BS_ATIVIDADE[#Data],3,FALSE))</f>
        <v>SOLDA</v>
      </c>
      <c r="AK149" s="175" t="str">
        <f>IF(BS_CONTROLE[[#This Row],[Local - Partida]]=0, "-", BS_CONTROLE[[#This Row],[Local - Partida]])</f>
        <v>TBS671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TBS-TAL</v>
      </c>
      <c r="AN149" s="175" t="str">
        <f>IF(BS_CONTROLE[[#This Row],[SB]]=0, "-", BS_CONTROLE[[#This Row],[SB]])</f>
        <v>TBS671</v>
      </c>
      <c r="AO149" s="176">
        <f>IF(BS_CONTROLE[[#This Row],[SUB]]=0, "-", BS_CONTROLE[[#This Row],[SUB]])</f>
        <v>98</v>
      </c>
      <c r="AP149" s="177">
        <f>IF(BS_CONTROLE[[#This Row],[KM - Inicio]]=0, "-", BS_CONTROLE[[#This Row],[KM - Inicio]])</f>
        <v>662.4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>
        <f>IF(D149="","*",IFERROR(IF(ISODD(COUNT(AS149:AX151)),"ERRO",SUM((AT149-AS149),(AV149-AU149),(AX149-AW149))),"ERRO"))</f>
        <v>0</v>
      </c>
      <c r="AZ149" s="11"/>
      <c r="BA149" s="60"/>
      <c r="BB149" s="9" t="str">
        <f>IFERROR(_xlfn.XLOOKUP(AI149, BS_ATIVIDADE[ATIVIDADE],BS_ATIVIDADE[UNIDADE] ), "*")</f>
        <v>Nº DE SOLDA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200" t="str">
        <f>IFERROR(_xlfn.XLOOKUP(AO149, BASE_MAPA!$B$2:$B$420, BASE_MAPA!$G$2:$G$420), "ERRO")</f>
        <v>ALTO ARAGUAIA - RONDONOPOLIS</v>
      </c>
      <c r="BF149" s="178" t="str">
        <f>IF(BS_CONTROLE[[#This Row],[Responsavel pelo boletim]]=0, "-", BS_CONTROLE[[#This Row],[Responsavel pelo boletim]])</f>
        <v>Bruno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Produção e Intervalo</v>
      </c>
      <c r="BR149" s="15">
        <f t="shared" si="14"/>
        <v>0</v>
      </c>
      <c r="BS149" s="15">
        <f t="shared" si="15"/>
        <v>0</v>
      </c>
      <c r="BT149" s="157" t="str">
        <f t="shared" si="16"/>
        <v/>
      </c>
    </row>
    <row r="150" spans="1:72" hidden="1">
      <c r="A150" s="44" t="str">
        <f t="shared" si="19"/>
        <v>ELSON (TF-526)46067</v>
      </c>
      <c r="B150" s="133">
        <v>46067</v>
      </c>
      <c r="C150" s="7">
        <f>IF(BS_CONTROLE[[#This Row],[DATA]]="","",WEEKNUM(BS_CONTROLE[[#This Row],[DATA]]))</f>
        <v>7</v>
      </c>
      <c r="D150" s="45" t="s">
        <v>303</v>
      </c>
      <c r="E150" s="185">
        <v>166</v>
      </c>
      <c r="F150" s="134" t="s">
        <v>193</v>
      </c>
      <c r="G150" s="8" t="str">
        <f>IF(D150="","*",VLOOKUP(F150,BS_ATIVIDADE[#All],3,FALSE))</f>
        <v>SOLDA</v>
      </c>
      <c r="H150" s="135"/>
      <c r="I150" s="135"/>
      <c r="J150" s="151">
        <v>74</v>
      </c>
      <c r="K150" s="151">
        <v>396.94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0" s="135"/>
      <c r="P150" s="135"/>
      <c r="Q150" s="71"/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0" s="199" t="str">
        <f>IFERROR(_xlfn.XLOOKUP(J150, BASE_MAPA!$B$2:$B$420, BASE_MAPA!$G$2:$G$420), "ERRO")</f>
        <v>MARCO INICIAL - ALTO ARAGUAIA</v>
      </c>
      <c r="V150" s="143" t="s">
        <v>1287</v>
      </c>
      <c r="W150" s="135" t="s">
        <v>1315</v>
      </c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PDM - SOLDA</v>
      </c>
      <c r="AJ150" s="8" t="str">
        <f>IF(D150="","*",VLOOKUP(AI150,BS_ATIVIDADE[#Data],3,FALSE))</f>
        <v>SOLDA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TIP</v>
      </c>
      <c r="AN150" s="175" t="str">
        <f>IF(BS_CONTROLE[[#This Row],[SB]]=0, "-", BS_CONTROLE[[#This Row],[SB]])</f>
        <v>TIP1</v>
      </c>
      <c r="AO150" s="176">
        <f>IF(BS_CONTROLE[[#This Row],[SUB]]=0, "-", BS_CONTROLE[[#This Row],[SUB]])</f>
        <v>74</v>
      </c>
      <c r="AP150" s="177">
        <f>IF(BS_CONTROLE[[#This Row],[KM - Inicio]]=0, "-", BS_CONTROLE[[#This Row],[KM - Inicio]])</f>
        <v>396.94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IF(D150="","*",IFERROR(IF(ISODD(COUNT(AS150:AX152)),"ERRO",SUM((AT150-AS150),(AV150-AU150),(AX150-AW150))),"ERRO"))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0" s="200" t="str">
        <f>IFERROR(_xlfn.XLOOKUP(AO150, BASE_MAPA!$B$2:$B$420, BASE_MAPA!$G$2:$G$420), "ERRO")</f>
        <v>MARCO INICIAL - ALTO ARAGUAIA</v>
      </c>
      <c r="BF150" s="178" t="str">
        <f>IF(BS_CONTROLE[[#This Row],[Responsavel pelo boletim]]=0, "-", BS_CONTROLE[[#This Row],[Responsavel pelo boletim]])</f>
        <v>Elson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e">
        <f t="shared" si="13"/>
        <v>#DIV/0!</v>
      </c>
      <c r="BR150" s="15" t="e">
        <f t="shared" si="14"/>
        <v>#DIV/0!</v>
      </c>
      <c r="BS150" s="15" t="e">
        <f t="shared" si="15"/>
        <v>#DIV/0!</v>
      </c>
      <c r="BT150" s="157" t="str">
        <f t="shared" si="16"/>
        <v/>
      </c>
    </row>
    <row r="151" spans="1:72" hidden="1">
      <c r="A151" s="44" t="str">
        <f t="shared" si="19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9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9"/>
        <v>MARCOS (TF-520)46067</v>
      </c>
      <c r="B153" s="133">
        <v>46067</v>
      </c>
      <c r="C153" s="7">
        <f>IF(BS_CONTROLE[[#This Row],[DATA]]="","",WEEKNUM(BS_CONTROLE[[#This Row],[DATA]]))</f>
        <v>7</v>
      </c>
      <c r="D153" s="45" t="s">
        <v>334</v>
      </c>
      <c r="E153" s="185">
        <v>169</v>
      </c>
      <c r="F153" s="134" t="s">
        <v>193</v>
      </c>
      <c r="G153" s="8" t="str">
        <f>IF(D153="","*",VLOOKUP(F153,BS_ATIVIDADE[#All],3,FALSE))</f>
        <v>SOLDA</v>
      </c>
      <c r="H153" s="135" t="s">
        <v>391</v>
      </c>
      <c r="I153" s="135" t="s">
        <v>11</v>
      </c>
      <c r="J153" s="151">
        <v>74</v>
      </c>
      <c r="K153" s="151">
        <v>26.818999999999999</v>
      </c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3" s="135">
        <v>0.35416666666666669</v>
      </c>
      <c r="P153" s="135">
        <v>8.3333333333333329E-2</v>
      </c>
      <c r="Q153" s="71">
        <v>1</v>
      </c>
      <c r="R153" s="9" t="str">
        <f>IFERROR(_xlfn.XLOOKUP(F153, BS_ATIVIDADE[ATIVIDADE],BS_ATIVIDADE[UNIDADE] ), "*")</f>
        <v>Nº DE SOLDA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199" t="str">
        <f>IFERROR(_xlfn.XLOOKUP(J153, BASE_MAPA!$B$2:$B$420, BASE_MAPA!$G$2:$G$420), "ERRO")</f>
        <v>MARCO INICIAL - ALTO ARAGUAIA</v>
      </c>
      <c r="V153" s="143" t="s">
        <v>1325</v>
      </c>
      <c r="W153" s="135" t="s">
        <v>1315</v>
      </c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5" t="str">
        <f>IF(BS_CONTROLE[[#This Row],[Local - Partida]]=0, "-", BS_CONTROLE[[#This Row],[Local - Partida]])</f>
        <v>TAPK35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TAP-TLG</v>
      </c>
      <c r="AN153" s="175" t="str">
        <f>IF(BS_CONTROLE[[#This Row],[SB]]=0, "-", BS_CONTROLE[[#This Row],[SB]])</f>
        <v>TAPK35</v>
      </c>
      <c r="AO153" s="176">
        <f>IF(BS_CONTROLE[[#This Row],[SUB]]=0, "-", BS_CONTROLE[[#This Row],[SUB]])</f>
        <v>74</v>
      </c>
      <c r="AP153" s="177">
        <f>IF(BS_CONTROLE[[#This Row],[KM - Inicio]]=0, "-", BS_CONTROLE[[#This Row],[KM - Inicio]])</f>
        <v>26.818999999999999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>
        <f>IF(D153="","*",IFERROR(IF(ISODD(COUNT(AS153:AX155)),"ERRO",SUM((AT153-AS153),(AV153-AU153),(AX153-AW153))),"ERRO"))</f>
        <v>0</v>
      </c>
      <c r="AZ153" s="11"/>
      <c r="BA153" s="60"/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200" t="str">
        <f>IFERROR(_xlfn.XLOOKUP(AO153, BASE_MAPA!$B$2:$B$420, BASE_MAPA!$G$2:$G$420), "ERRO")</f>
        <v>MARCO INICIAL - ALTO ARAGUAIA</v>
      </c>
      <c r="BF153" s="178" t="str">
        <f>IF(BS_CONTROLE[[#This Row],[Responsavel pelo boletim]]=0, "-", BS_CONTROLE[[#This Row],[Responsavel pelo boletim]])</f>
        <v>Marcos Euzebio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Produção e Intervalo</v>
      </c>
      <c r="BR153" s="15">
        <f t="shared" si="14"/>
        <v>0</v>
      </c>
      <c r="BS153" s="15">
        <f t="shared" si="15"/>
        <v>0</v>
      </c>
      <c r="BT153" s="157" t="str">
        <f t="shared" si="16"/>
        <v/>
      </c>
    </row>
    <row r="154" spans="1:72" hidden="1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9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9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20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21">IF(AND(BR178&lt;1,BS178&lt;1),"Produção e Intervalo",IF(BR178&lt;1,"Intervalo",IF(BS178&lt;1,"Produção","Aderente")))</f>
        <v>Aderente</v>
      </c>
      <c r="BR178" s="15" t="str">
        <f t="shared" ref="BR178:BR241" si="22">IF(OR(B178="",F178=""),"*",AY178/P178)</f>
        <v>*</v>
      </c>
      <c r="BS178" s="15" t="str">
        <f t="shared" ref="BS178:BS241" si="23">IF(OR(B178="",F178=""),"*",BA178/Q178)</f>
        <v>*</v>
      </c>
      <c r="BT178" s="157" t="str">
        <f t="shared" ref="BT178:BT241" si="24">IF(BN178="","",SUBSTITUTE(BM178," ","")&amp;SUBSTITUTE(BN178," ",""))</f>
        <v/>
      </c>
    </row>
    <row r="179" spans="1:72" hidden="1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ref="A242:A305" si="25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6">IF(AND(BR242&lt;1,BS242&lt;1),"Produção e Intervalo",IF(BR242&lt;1,"Intervalo",IF(BS242&lt;1,"Produção","Aderente")))</f>
        <v>Aderente</v>
      </c>
      <c r="BR242" s="15" t="str">
        <f t="shared" ref="BR242:BR305" si="27">IF(OR(B242="",F242=""),"*",AY242/P242)</f>
        <v>*</v>
      </c>
      <c r="BS242" s="15" t="str">
        <f t="shared" ref="BS242:BS305" si="28">IF(OR(B242="",F242=""),"*",BA242/Q242)</f>
        <v>*</v>
      </c>
      <c r="BT242" s="157" t="str">
        <f t="shared" ref="BT242:BT305" si="29">IF(BN242="","",SUBSTITUTE(BM242," ","")&amp;SUBSTITUTE(BN242," ",""))</f>
        <v/>
      </c>
    </row>
    <row r="243" spans="1:72" hidden="1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ref="A306:A369" si="30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31">IF(AND(BR306&lt;1,BS306&lt;1),"Produção e Intervalo",IF(BR306&lt;1,"Intervalo",IF(BS306&lt;1,"Produção","Aderente")))</f>
        <v>Aderente</v>
      </c>
      <c r="BR306" s="15" t="str">
        <f t="shared" ref="BR306:BR369" si="32">IF(OR(B306="",F306=""),"*",AY306/P306)</f>
        <v>*</v>
      </c>
      <c r="BS306" s="15" t="str">
        <f t="shared" ref="BS306:BS369" si="33">IF(OR(B306="",F306=""),"*",BA306/Q306)</f>
        <v>*</v>
      </c>
      <c r="BT306" s="157" t="str">
        <f t="shared" ref="BT306:BT369" si="34">IF(BN306="","",SUBSTITUTE(BM306," ","")&amp;SUBSTITUTE(BN306," ",""))</f>
        <v/>
      </c>
    </row>
    <row r="307" spans="1:72" hidden="1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ref="A370:A433" si="35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6">IF(AND(BR370&lt;1,BS370&lt;1),"Produção e Intervalo",IF(BR370&lt;1,"Intervalo",IF(BS370&lt;1,"Produção","Aderente")))</f>
        <v>Aderente</v>
      </c>
      <c r="BR370" s="15" t="str">
        <f t="shared" ref="BR370:BR433" si="37">IF(OR(B370="",F370=""),"*",AY370/P370)</f>
        <v>*</v>
      </c>
      <c r="BS370" s="15" t="str">
        <f t="shared" ref="BS370:BS433" si="38">IF(OR(B370="",F370=""),"*",BA370/Q370)</f>
        <v>*</v>
      </c>
      <c r="BT370" s="157" t="str">
        <f t="shared" ref="BT370:BT433" si="39">IF(BN370="","",SUBSTITUTE(BM370," ","")&amp;SUBSTITUTE(BN370," ",""))</f>
        <v/>
      </c>
    </row>
    <row r="371" spans="1:72" hidden="1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ref="A434:A497" si="40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41">IF(AND(BR434&lt;1,BS434&lt;1),"Produção e Intervalo",IF(BR434&lt;1,"Intervalo",IF(BS434&lt;1,"Produção","Aderente")))</f>
        <v>Aderente</v>
      </c>
      <c r="BR434" s="15" t="str">
        <f t="shared" ref="BR434:BR497" si="42">IF(OR(B434="",F434=""),"*",AY434/P434)</f>
        <v>*</v>
      </c>
      <c r="BS434" s="15" t="str">
        <f t="shared" ref="BS434:BS497" si="43">IF(OR(B434="",F434=""),"*",BA434/Q434)</f>
        <v>*</v>
      </c>
      <c r="BT434" s="157" t="str">
        <f t="shared" ref="BT434:BT497" si="44">IF(BN434="","",SUBSTITUTE(BM434," ","")&amp;SUBSTITUTE(BN434," ",""))</f>
        <v/>
      </c>
    </row>
    <row r="435" spans="1:72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ref="A498:A561" si="45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6">IF(AND(BR498&lt;1,BS498&lt;1),"Produção e Intervalo",IF(BR498&lt;1,"Intervalo",IF(BS498&lt;1,"Produção","Aderente")))</f>
        <v>Aderente</v>
      </c>
      <c r="BR498" s="15" t="str">
        <f t="shared" ref="BR498:BR561" si="47">IF(OR(B498="",F498=""),"*",AY498/P498)</f>
        <v>*</v>
      </c>
      <c r="BS498" s="15" t="str">
        <f t="shared" ref="BS498:BS561" si="48">IF(OR(B498="",F498=""),"*",BA498/Q498)</f>
        <v>*</v>
      </c>
      <c r="BT498" s="157" t="str">
        <f t="shared" ref="BT498:BT561" si="49">IF(BN498="","",SUBSTITUTE(BM498," ","")&amp;SUBSTITUTE(BN498," ",""))</f>
        <v/>
      </c>
    </row>
    <row r="499" spans="1:72" hidden="1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ref="A562:A625" si="50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51">IF(AND(BR562&lt;1,BS562&lt;1),"Produção e Intervalo",IF(BR562&lt;1,"Intervalo",IF(BS562&lt;1,"Produção","Aderente")))</f>
        <v>Aderente</v>
      </c>
      <c r="BR562" s="15" t="str">
        <f t="shared" ref="BR562:BR625" si="52">IF(OR(B562="",F562=""),"*",AY562/P562)</f>
        <v>*</v>
      </c>
      <c r="BS562" s="15" t="str">
        <f t="shared" ref="BS562:BS625" si="53">IF(OR(B562="",F562=""),"*",BA562/Q562)</f>
        <v>*</v>
      </c>
      <c r="BT562" s="157" t="str">
        <f t="shared" ref="BT562:BT625" si="54">IF(BN562="","",SUBSTITUTE(BM562," ","")&amp;SUBSTITUTE(BN562," ",""))</f>
        <v/>
      </c>
    </row>
    <row r="563" spans="1:72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ref="A626:A689" si="55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6">IF(AND(BR626&lt;1,BS626&lt;1),"Produção e Intervalo",IF(BR626&lt;1,"Intervalo",IF(BS626&lt;1,"Produção","Aderente")))</f>
        <v>Aderente</v>
      </c>
      <c r="BR626" s="15" t="str">
        <f t="shared" ref="BR626:BR689" si="57">IF(OR(B626="",F626=""),"*",AY626/P626)</f>
        <v>*</v>
      </c>
      <c r="BS626" s="15" t="str">
        <f t="shared" ref="BS626:BS689" si="58">IF(OR(B626="",F626=""),"*",BA626/Q626)</f>
        <v>*</v>
      </c>
      <c r="BT626" s="157" t="str">
        <f t="shared" ref="BT626:BT689" si="59">IF(BN626="","",SUBSTITUTE(BM626," ","")&amp;SUBSTITUTE(BN626," ",""))</f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ref="A690:A753" si="60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61">IF(AND(BR690&lt;1,BS690&lt;1),"Produção e Intervalo",IF(BR690&lt;1,"Intervalo",IF(BS690&lt;1,"Produção","Aderente")))</f>
        <v>Aderente</v>
      </c>
      <c r="BR690" s="15" t="str">
        <f t="shared" ref="BR690:BR753" si="62">IF(OR(B690="",F690=""),"*",AY690/P690)</f>
        <v>*</v>
      </c>
      <c r="BS690" s="15" t="str">
        <f t="shared" ref="BS690:BS753" si="63">IF(OR(B690="",F690=""),"*",BA690/Q690)</f>
        <v>*</v>
      </c>
      <c r="BT690" s="157" t="str">
        <f t="shared" ref="BT690:BT753" si="64">IF(BN690="","",SUBSTITUTE(BM690," ","")&amp;SUBSTITUTE(BN690," ",""))</f>
        <v/>
      </c>
    </row>
    <row r="691" spans="1:72" hidden="1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ref="A754:A779" si="65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6">IF(AND(BR754&lt;1,BS754&lt;1),"Produção e Intervalo",IF(BR754&lt;1,"Intervalo",IF(BS754&lt;1,"Produção","Aderente")))</f>
        <v>Aderente</v>
      </c>
      <c r="BR754" s="15" t="str">
        <f t="shared" ref="BR754:BR779" si="67">IF(OR(B754="",F754=""),"*",AY754/P754)</f>
        <v>*</v>
      </c>
      <c r="BS754" s="15" t="str">
        <f t="shared" ref="BS754:BS779" si="68">IF(OR(B754="",F754=""),"*",BA754/Q754)</f>
        <v>*</v>
      </c>
      <c r="BT754" s="157" t="str">
        <f t="shared" ref="BT754:BT779" si="69">IF(BN754="","",SUBSTITUTE(BM754," ","")&amp;SUBSTITUTE(BN754," ",""))</f>
        <v/>
      </c>
    </row>
    <row r="755" spans="1:72" hidden="1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8" operator="equal">
      <formula>"ERRO"</formula>
    </cfRule>
  </conditionalFormatting>
  <conditionalFormatting sqref="X4 Y1:Z5 Y8:Z779">
    <cfRule type="cellIs" dxfId="123" priority="18497" operator="equal">
      <formula>"OPORTUNIDADE"</formula>
    </cfRule>
  </conditionalFormatting>
  <conditionalFormatting sqref="AZ6:AZ779">
    <cfRule type="expression" dxfId="122" priority="18492">
      <formula>$BU6=1</formula>
    </cfRule>
  </conditionalFormatting>
  <conditionalFormatting sqref="BQ6:BQ779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79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79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2:Y1048576">
    <cfRule type="cellIs" dxfId="111" priority="18314" operator="equal">
      <formula>"OPORTUNIDADE"</formula>
    </cfRule>
  </conditionalFormatting>
  <conditionalFormatting sqref="Y1047842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79 BK143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2:BK135 BK137 BK139:BK142 BK144:BK779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allowBlank="1" showInputMessage="1" showErrorMessage="1" sqref="BC6:BD779" xr:uid="{DA339A89-DDF9-4B37-A386-8A8CB98BBFC6}"/>
    <dataValidation type="list" allowBlank="1" showInputMessage="1" showErrorMessage="1" sqref="D6:D77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1552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1553</v>
      </c>
      <c r="E3" s="186" t="s">
        <v>1554</v>
      </c>
      <c r="F3" s="186" t="s">
        <v>1555</v>
      </c>
      <c r="G3" s="186" t="s">
        <v>1556</v>
      </c>
      <c r="H3" s="186" t="s">
        <v>1557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1558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1559</v>
      </c>
      <c r="D12" s="187">
        <v>9049</v>
      </c>
      <c r="E12" s="188">
        <v>46044</v>
      </c>
      <c r="F12" s="190" t="s">
        <v>1560</v>
      </c>
      <c r="G12" s="187" t="s">
        <v>1561</v>
      </c>
      <c r="H12" s="187"/>
    </row>
    <row r="13" spans="3:8">
      <c r="C13" s="187" t="s">
        <v>1559</v>
      </c>
      <c r="D13" s="187">
        <v>9044</v>
      </c>
      <c r="E13" s="188">
        <v>46044</v>
      </c>
      <c r="F13" s="190" t="s">
        <v>1562</v>
      </c>
      <c r="G13" s="187" t="s">
        <v>1563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1564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1564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1565</v>
      </c>
      <c r="C2" s="83" t="s">
        <v>1196</v>
      </c>
      <c r="D2" s="83" t="s">
        <v>1198</v>
      </c>
      <c r="E2" s="83" t="s">
        <v>1566</v>
      </c>
      <c r="F2" s="83" t="s">
        <v>1567</v>
      </c>
      <c r="G2" s="83" t="s">
        <v>1568</v>
      </c>
      <c r="H2" s="83" t="s">
        <v>1569</v>
      </c>
      <c r="I2" s="83" t="s">
        <v>1570</v>
      </c>
      <c r="J2" s="83" t="s">
        <v>1571</v>
      </c>
      <c r="K2" s="109" t="s">
        <v>1572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>
        <f>IF(FN_MC!B131="","*",FN_MC!B131)</f>
        <v>46065</v>
      </c>
      <c r="D149" s="101" t="str">
        <f>IF(FN_MC!D131="","*",FN_MC!D131)</f>
        <v>W94</v>
      </c>
      <c r="E149" s="101" t="str">
        <f>IF(FN_MC!H131="","*",FN_MC!H131)</f>
        <v>PIT2</v>
      </c>
      <c r="F149" s="114" t="str">
        <f>IF(FN_MC!M131="","*",FN_MC!M131)</f>
        <v>PUD-PIT</v>
      </c>
      <c r="G149" s="101" t="str">
        <f>IF(FN_MC!I131="","*",FN_MC!I131)</f>
        <v>PSS2</v>
      </c>
      <c r="H149" s="101" t="str">
        <f>IF(FN_MC!AB131="","*",FN_MC!AB131)</f>
        <v>FIXO</v>
      </c>
      <c r="I149" s="101" t="str">
        <f>IF(FN_MC!AC131="","*",FN_MC!AC131)</f>
        <v>*</v>
      </c>
      <c r="J149" s="102" t="str">
        <f>IF(FN_MC!AA131="","*",FN_MC!AA131)</f>
        <v>1 Thiago</v>
      </c>
      <c r="K149" s="112">
        <f>IF(FN_MC!AD131="","*",FN_MC!AD131)</f>
        <v>0.29166666666666669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SIM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OPORTUNIDADE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OPORTUNIDADE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SIM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SIM</v>
      </c>
      <c r="C157" s="101">
        <f>IF(FN_MC!B139="","*",FN_MC!B139)</f>
        <v>46066</v>
      </c>
      <c r="D157" s="101" t="str">
        <f>IF(FN_MC!D139="","*",FN_MC!D139)</f>
        <v>W50</v>
      </c>
      <c r="E157" s="101" t="str">
        <f>IF(FN_MC!H139="","*",FN_MC!H139)</f>
        <v xml:space="preserve">TCS2 </v>
      </c>
      <c r="F157" s="114" t="str">
        <f>IF(FN_MC!M139="","*",FN_MC!M139)</f>
        <v>TVI-TJA</v>
      </c>
      <c r="G157" s="101" t="str">
        <f>IF(FN_MC!I139="","*",FN_MC!I139)</f>
        <v xml:space="preserve">TCS2 </v>
      </c>
      <c r="H157" s="101" t="str">
        <f>IF(FN_MC!AB139="","*",FN_MC!AB139)</f>
        <v>FIXO</v>
      </c>
      <c r="I157" s="101" t="str">
        <f>IF(FN_MC!AC139="","*",FN_MC!AC139)</f>
        <v>-</v>
      </c>
      <c r="J157" s="102" t="str">
        <f>IF(FN_MC!AA139="","*",FN_MC!AA139)</f>
        <v>2 Maicon + Eder</v>
      </c>
      <c r="K157" s="112">
        <f>IF(FN_MC!AD139="","*",FN_MC!AD139)</f>
        <v>0.29166666666666669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SIM</v>
      </c>
      <c r="C160" s="101">
        <f>IF(FN_MC!B142="","*",FN_MC!B142)</f>
        <v>46066</v>
      </c>
      <c r="D160" s="101" t="str">
        <f>IF(FN_MC!D142="","*",FN_MC!D142)</f>
        <v>W48</v>
      </c>
      <c r="E160" s="101" t="str">
        <f>IF(FN_MC!H142="","*",FN_MC!H142)</f>
        <v>TAP2</v>
      </c>
      <c r="F160" s="114" t="str">
        <f>IF(FN_MC!M142="","*",FN_MC!M142)</f>
        <v>TLG-TQI</v>
      </c>
      <c r="G160" s="101" t="str">
        <f>IF(FN_MC!I142="","*",FN_MC!I142)</f>
        <v xml:space="preserve">TCS2 </v>
      </c>
      <c r="H160" s="101" t="str">
        <f>IF(FN_MC!AB142="","*",FN_MC!AB142)</f>
        <v>FIXO</v>
      </c>
      <c r="I160" s="101" t="str">
        <f>IF(FN_MC!AC142="","*",FN_MC!AC142)</f>
        <v>-</v>
      </c>
      <c r="J160" s="102">
        <f>IF(FN_MC!AA142="","*",FN_MC!AA142)</f>
        <v>1</v>
      </c>
      <c r="K160" s="112">
        <f>IF(FN_MC!AD142="","*",FN_MC!AD142)</f>
        <v>0.29166666666666669</v>
      </c>
    </row>
    <row r="161" spans="2:11">
      <c r="B161" s="100" t="str">
        <f>IF(FN_MC!Y143="","*",FN_MC!Y143)</f>
        <v>OPORTUNIDADE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OPORTUNIDADE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>
        <f>IF(FN_MC!B145="","*",FN_MC!B145)</f>
        <v>46066</v>
      </c>
      <c r="D163" s="101" t="str">
        <f>IF(FN_MC!D145="","*",FN_MC!D145)</f>
        <v>A88</v>
      </c>
      <c r="E163" s="101" t="str">
        <f>IF(FN_MC!H145="","*",FN_MC!H145)</f>
        <v>ZJU2</v>
      </c>
      <c r="F163" s="114" t="str">
        <f>IF(FN_MC!M145="","*",FN_MC!M145)</f>
        <v>ZJU-ZDK</v>
      </c>
      <c r="G163" s="101" t="str">
        <f>IF(FN_MC!I145="","*",FN_MC!I145)</f>
        <v>ZDK</v>
      </c>
      <c r="H163" s="101" t="str">
        <f>IF(FN_MC!AB145="","*",FN_MC!AB145)</f>
        <v>FIXO</v>
      </c>
      <c r="I163" s="101" t="str">
        <f>IF(FN_MC!AC145="","*",FN_MC!AC145)</f>
        <v>*</v>
      </c>
      <c r="J163" s="102">
        <f>IF(FN_MC!AA145="","*",FN_MC!AA145)</f>
        <v>1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IF(FN_MC!D147="","*",FN_MC!D147)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e">
        <f>IF(FN_MC!#REF!="","*",FN_MC!#REF!)</f>
        <v>#REF!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>
        <f>IF(FN_MC!B148="","*",FN_MC!B148)</f>
        <v>46067</v>
      </c>
      <c r="D166" s="101" t="str">
        <f>IF(FN_MC!D148="","*",FN_MC!D148)</f>
        <v>V86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>
        <f>IF(FN_MC!B149="","*",FN_MC!B149)</f>
        <v>46067</v>
      </c>
      <c r="D167" s="101" t="str">
        <f>IF(FN_MC!D149="","*",FN_MC!D149)</f>
        <v>BRUNO (TF-525)</v>
      </c>
      <c r="E167" s="101" t="str">
        <f>IF(FN_MC!H149="","*",FN_MC!H149)</f>
        <v>TBS671</v>
      </c>
      <c r="F167" s="114" t="str">
        <f>IF(FN_MC!M149="","*",FN_MC!M149)</f>
        <v>TBS-TAL</v>
      </c>
      <c r="G167" s="101" t="str">
        <f>IF(FN_MC!I149="","*",FN_MC!I149)</f>
        <v>-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>
        <f>IF(FN_MC!B150="","*",FN_MC!B150)</f>
        <v>46067</v>
      </c>
      <c r="D168" s="101" t="str">
        <f>IF(FN_MC!D150="","*",FN_MC!D150)</f>
        <v>ELSON (TF-526)</v>
      </c>
      <c r="E168" s="101" t="str">
        <f>IF(FN_MC!H150="","*",FN_MC!H150)</f>
        <v>*</v>
      </c>
      <c r="F168" s="114" t="str">
        <f>IF(FN_MC!M150="","*",FN_MC!M150)</f>
        <v>TIP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>
        <f>IF(FN_MC!B153="","*",FN_MC!B153)</f>
        <v>46067</v>
      </c>
      <c r="D171" s="101" t="str">
        <f>IF(FN_MC!D153="","*",FN_MC!D153)</f>
        <v>MARCOS (TF-520)</v>
      </c>
      <c r="E171" s="101" t="str">
        <f>IF(FN_MC!H153="","*",FN_MC!H153)</f>
        <v>TAPK35</v>
      </c>
      <c r="F171" s="114" t="str">
        <f>IF(FN_MC!M153="","*",FN_MC!M153)</f>
        <v>TAP-TLG</v>
      </c>
      <c r="G171" s="101" t="str">
        <f>IF(FN_MC!I153="","*",FN_MC!I153)</f>
        <v>-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A2" workbookViewId="0">
      <selection activeCell="A2" sqref="A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1573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1574</v>
      </c>
      <c r="B3" s="91" t="s">
        <v>1575</v>
      </c>
      <c r="C3" s="91" t="s">
        <v>7</v>
      </c>
      <c r="D3" s="92" t="s">
        <v>1211</v>
      </c>
      <c r="E3" s="92" t="s">
        <v>366</v>
      </c>
      <c r="F3" s="92" t="s">
        <v>1576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1577</v>
      </c>
      <c r="T3" s="94" t="s">
        <v>1214</v>
      </c>
      <c r="U3" s="90">
        <f ca="1">TODAY()-1</f>
        <v>46065</v>
      </c>
      <c r="V3" s="90">
        <f ca="1">U3-1</f>
        <v>46064</v>
      </c>
      <c r="W3" s="90">
        <f ca="1">V3-1</f>
        <v>46063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1</v>
      </c>
      <c r="W4" s="98">
        <f ca="1">_xlfn.XLOOKUP(G4&amp;$W$3,BS_CONTROLE[CHAVE],BS_CONTROLE[Quantidade_11],"-")</f>
        <v>27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4512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1</v>
      </c>
      <c r="W8" s="98">
        <f ca="1">_xlfn.XLOOKUP(G8&amp;$W$3,BS_CONTROLE[CHAVE],BS_CONTROLE[Quantidade_11],"-")</f>
        <v>27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20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936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4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2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4512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1</v>
      </c>
      <c r="W16" s="98">
        <f ca="1">_xlfn.XLOOKUP(G16&amp;$W$3,BS_CONTROLE[CHAVE],BS_CONTROLE[Quantidade_11],"-")</f>
        <v>27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20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936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4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14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4512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1</v>
      </c>
      <c r="W29" s="98">
        <f ca="1">_xlfn.XLOOKUP(G29&amp;$W$3,BS_CONTROLE[CHAVE],BS_CONTROLE[Quantidade_11],"-")</f>
        <v>27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936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4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250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100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4512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1</v>
      </c>
      <c r="W43" s="98">
        <f ca="1">_xlfn.XLOOKUP(G43&amp;$W$3,BS_CONTROLE[CHAVE],BS_CONTROLE[Quantidade_11],"-")</f>
        <v>27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936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4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250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4512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1</v>
      </c>
      <c r="W54" s="98">
        <f ca="1">_xlfn.XLOOKUP(G54&amp;$W$3,BS_CONTROLE[CHAVE],BS_CONTROLE[Quantidade_11],"-")</f>
        <v>27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250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100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4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936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4512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1525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4512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1525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4512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1</v>
      </c>
      <c r="W72" s="98">
        <f ca="1">_xlfn.XLOOKUP(G72&amp;$W$3,BS_CONTROLE[CHAVE],BS_CONTROLE[Quantidade_11],"-")</f>
        <v>27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250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100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4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1525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125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4512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1</v>
      </c>
      <c r="W83" s="98">
        <f ca="1">_xlfn.XLOOKUP(G83&amp;$W$3,BS_CONTROLE[CHAVE],BS_CONTROLE[Quantidade_11],"-")</f>
        <v>27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4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1525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936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250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4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2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14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4512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>
        <f ca="1">_xlfn.XLOOKUP(G100&amp;$V$3,BS_CONTROLE[CHAVE],BS_CONTROLE[Quantidade_11],"-")</f>
        <v>20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2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27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250</v>
      </c>
      <c r="V104" s="98">
        <f ca="1">_xlfn.XLOOKUP(G104&amp;$V$3,BS_CONTROLE[CHAVE],BS_CONTROLE[Quantidade_11],"-")</f>
        <v>210</v>
      </c>
      <c r="W104" s="98">
        <f ca="1">_xlfn.XLOOKUP(G104&amp;$W$3,BS_CONTROLE[CHAVE],BS_CONTROLE[Quantidade_11],"-")</f>
        <v>100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1525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15</v>
      </c>
      <c r="V106" s="98">
        <f ca="1">_xlfn.XLOOKUP(G106&amp;$V$3,BS_CONTROLE[CHAVE],BS_CONTROLE[Quantidade_11],"-")</f>
        <v>0</v>
      </c>
      <c r="W106" s="98">
        <f ca="1">_xlfn.XLOOKUP(G106&amp;$W$3,BS_CONTROLE[CHAVE],BS_CONTROLE[Quantidade_11],"-")</f>
        <v>4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2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312</v>
      </c>
      <c r="V108" s="98">
        <f ca="1">_xlfn.XLOOKUP(G108&amp;$V$3,BS_CONTROLE[CHAVE],BS_CONTROLE[Quantidade_11],"-")</f>
        <v>125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4512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27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>
        <f ca="1">_xlfn.XLOOKUP(G115&amp;$U$3,BS_CONTROLE[CHAVE],BS_CONTROLE[Quantidade_11],"-")</f>
        <v>12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2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250</v>
      </c>
      <c r="V118" s="98">
        <f ca="1">_xlfn.XLOOKUP(G118&amp;$V$3,BS_CONTROLE[CHAVE],BS_CONTROLE[Quantidade_11],"-")</f>
        <v>210</v>
      </c>
      <c r="W118" s="98">
        <f ca="1">_xlfn.XLOOKUP(G118&amp;$W$3,BS_CONTROLE[CHAVE],BS_CONTROLE[Quantidade_11],"-")</f>
        <v>100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15</v>
      </c>
      <c r="V119" s="98">
        <f ca="1">_xlfn.XLOOKUP(G119&amp;$V$3,BS_CONTROLE[CHAVE],BS_CONTROLE[Quantidade_11],"-")</f>
        <v>0</v>
      </c>
      <c r="W119" s="98">
        <f ca="1">_xlfn.XLOOKUP(G119&amp;$W$3,BS_CONTROLE[CHAVE],BS_CONTROLE[Quantidade_11],"-")</f>
        <v>4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1525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312</v>
      </c>
      <c r="V125" s="98">
        <f ca="1">_xlfn.XLOOKUP(G125&amp;$V$3,BS_CONTROLE[CHAVE],BS_CONTROLE[Quantidade_11],"-")</f>
        <v>125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>
        <f ca="1">_xlfn.XLOOKUP(G126&amp;$U$3,BS_CONTROLE[CHAVE],BS_CONTROLE[Quantidade_11],"-")</f>
        <v>4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Extra</v>
      </c>
      <c r="C128" s="95" t="str">
        <f>IF(FN_MC!Z131="","*",FN_MC!Z131)</f>
        <v>*</v>
      </c>
      <c r="D128" s="96" t="str">
        <f>IF(FN_MC!S131="","*",FN_MC!S131)</f>
        <v>MALHA CENTRAL</v>
      </c>
      <c r="E128" s="96" t="str">
        <f>IF(FN_MC!T131="","*",FN_MC!T131)</f>
        <v>PRV-POV</v>
      </c>
      <c r="F128" s="96">
        <f>IF(FN_MC!B131="","*",FN_MC!B131)</f>
        <v>46065</v>
      </c>
      <c r="G128" s="96" t="str">
        <f>IF(FN_MC!D131="","*",FN_MC!D131)</f>
        <v>W94</v>
      </c>
      <c r="H128" s="96" t="str">
        <f>IF(FN_MC!F131="","*",FN_MC!F131)</f>
        <v>PDM - PEDRA - DESCARGA</v>
      </c>
      <c r="I128" s="96" t="str">
        <f>IF(FN_MC!H131="","*",FN_MC!H131)</f>
        <v>PIT2</v>
      </c>
      <c r="J128" s="96" t="str">
        <f>IF(FN_MC!I131="","*",FN_MC!I131)</f>
        <v>PSS2</v>
      </c>
      <c r="K128" s="96" t="str">
        <f>IF(FN_MC!M131="","*",FN_MC!M131)</f>
        <v>PUD-PIT</v>
      </c>
      <c r="L128" s="196" t="str">
        <f>IF(FN_MC!N131="","*",FN_MC!N131)</f>
        <v>K96PUD</v>
      </c>
      <c r="M128" s="97">
        <f>IF(FN_MC!J131="","*",FN_MC!J131)</f>
        <v>103</v>
      </c>
      <c r="N128" s="183">
        <f>IF(FN_MC!K131="","*",FN_MC!K131)</f>
        <v>2088.4</v>
      </c>
      <c r="O128" s="183" t="str">
        <f>IF(FN_MC!L131="","*",FN_MC!L131)</f>
        <v>-</v>
      </c>
      <c r="P128" s="107">
        <f>IF(FN_MC!O131="","*",FN_MC!O131)</f>
        <v>0.375</v>
      </c>
      <c r="Q128" s="107">
        <f>IF(FN_MC!P131="","*",FN_MC!P131)</f>
        <v>4.1666666666666664E-2</v>
      </c>
      <c r="R128" s="96" t="str">
        <f>IF(FN_MC!Q131="","*",CONCATENATE(FN_MC!Q131," ",FN_MC!R131))</f>
        <v>13 VAGÕES</v>
      </c>
      <c r="S128" s="96" t="str">
        <f>IF(FN_MC!V131="","*",FN_MC!V131)</f>
        <v xml:space="preserve">Lucas </v>
      </c>
      <c r="T128" s="96" t="str">
        <f>IF(FN_MC!W131="","*",FN_MC!W131)</f>
        <v xml:space="preserve">Descarga de pedra </v>
      </c>
      <c r="U128" s="98">
        <f ca="1">_xlfn.XLOOKUP(G128&amp;$U$3,BS_CONTROLE[CHAVE],BS_CONTROLE[Quantidade_11],"-")</f>
        <v>14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13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IF(FN_MC!Y133="","*",FN_MC!Y133)</f>
        <v>SIM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4512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651TBS/TBSPAT2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1</v>
      </c>
      <c r="W131" s="98">
        <f ca="1">_xlfn.XLOOKUP(G131&amp;$W$3,BS_CONTROLE[CHAVE],BS_CONTROLE[Quantidade_11],"-")</f>
        <v>27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SIM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SIM</v>
      </c>
      <c r="B136" s="95" t="str">
        <f>IF(FN_MC!X139="","*",FN_MC!X139)</f>
        <v>Contrato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W50</v>
      </c>
      <c r="H136" s="96" t="str">
        <f>IF(FN_MC!F139="","*",FN_MC!F139)</f>
        <v>MODERNIZAÇÃO - DORMENTE - DESCARGA</v>
      </c>
      <c r="I136" s="96" t="str">
        <f>IF(FN_MC!H139="","*",FN_MC!H139)</f>
        <v xml:space="preserve">TCS2 </v>
      </c>
      <c r="J136" s="96" t="str">
        <f>IF(FN_MC!I139="","*",FN_MC!I139)</f>
        <v xml:space="preserve">TCS2 </v>
      </c>
      <c r="K136" s="96" t="str">
        <f>IF(FN_MC!M139="","*",FN_MC!M139)</f>
        <v>TVI-TJA</v>
      </c>
      <c r="L136" s="196" t="str">
        <f>IF(FN_MC!N139="","*",FN_MC!N139)</f>
        <v>TVIPAT1/213TVI</v>
      </c>
      <c r="M136" s="97">
        <f>IF(FN_MC!J139="","*",FN_MC!J139)</f>
        <v>74</v>
      </c>
      <c r="N136" s="183">
        <f>IF(FN_MC!K139="","*",FN_MC!K139)</f>
        <v>227.935</v>
      </c>
      <c r="O136" s="183">
        <f>IF(FN_MC!L139="","*",FN_MC!L139)</f>
        <v>224.25700000000001</v>
      </c>
      <c r="P136" s="107">
        <f>IF(FN_MC!O139="","*",FN_MC!O139)</f>
        <v>0.35416666666666669</v>
      </c>
      <c r="Q136" s="107">
        <f>IF(FN_MC!P139="","*",FN_MC!P139)</f>
        <v>0.16666666666666666</v>
      </c>
      <c r="R136" s="96" t="str">
        <f>IF(FN_MC!Q139="","*",CONCATENATE(FN_MC!Q139," ",FN_MC!R139))</f>
        <v>713 Nº DE DORMENTES</v>
      </c>
      <c r="S136" s="96" t="str">
        <f>IF(FN_MC!V139="","*",FN_MC!V139)</f>
        <v>Augusto/ Efraim</v>
      </c>
      <c r="T136" s="96" t="str">
        <f>IF(FN_MC!W139="","*",FN_MC!W139)</f>
        <v>Descarga de dormentes km 227-224, em oportunidade realizar recolhimento no km 244,7 - 244</v>
      </c>
      <c r="U136" s="98">
        <f ca="1">_xlfn.XLOOKUP(G136&amp;$U$3,BS_CONTROLE[CHAVE],BS_CONTROLE[Quantidade_11],"-")</f>
        <v>15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4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46066</v>
      </c>
      <c r="G139" s="96" t="str">
        <f>IF(FN_MC!D142="","*",FN_MC!D142)</f>
        <v>W48</v>
      </c>
      <c r="H139" s="96" t="str">
        <f>IF(FN_MC!F142="","*",FN_MC!F142)</f>
        <v>MECANIZAÇÃO - DOL</v>
      </c>
      <c r="I139" s="96" t="str">
        <f>IF(FN_MC!H142="","*",FN_MC!H142)</f>
        <v>TAP2</v>
      </c>
      <c r="J139" s="96" t="str">
        <f>IF(FN_MC!I142="","*",FN_MC!I142)</f>
        <v xml:space="preserve">TCS2 </v>
      </c>
      <c r="K139" s="96" t="str">
        <f>IF(FN_MC!M142="","*",FN_MC!M142)</f>
        <v>TLG-TQI</v>
      </c>
      <c r="L139" s="196" t="str">
        <f>IF(FN_MC!N142="","*",FN_MC!N142)</f>
        <v>TLGK52</v>
      </c>
      <c r="M139" s="97">
        <f>IF(FN_MC!J142="","*",FN_MC!J142)</f>
        <v>74</v>
      </c>
      <c r="N139" s="183">
        <f>IF(FN_MC!K142="","*",FN_MC!K142)</f>
        <v>44.32</v>
      </c>
      <c r="O139" s="183">
        <f>IF(FN_MC!L142="","*",FN_MC!L142)</f>
        <v>41.1</v>
      </c>
      <c r="P139" s="107">
        <f>IF(FN_MC!O142="","*",FN_MC!O142)</f>
        <v>0.35416666666666669</v>
      </c>
      <c r="Q139" s="107">
        <f>IF(FN_MC!P142="","*",FN_MC!P142)</f>
        <v>0.16666666666666666</v>
      </c>
      <c r="R139" s="96" t="str">
        <f>IF(FN_MC!Q142="","*",CONCATENATE(FN_MC!Q142," ",FN_MC!R142))</f>
        <v>2000 M</v>
      </c>
      <c r="S139" s="96" t="str">
        <f>IF(FN_MC!V142="","*",FN_MC!V142)</f>
        <v>Maik</v>
      </c>
      <c r="T139" s="96" t="str">
        <f>IF(FN_MC!W142="","*",FN_MC!W142)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2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Anisio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312</v>
      </c>
      <c r="V141" s="98">
        <f ca="1">_xlfn.XLOOKUP(G141&amp;$V$3,BS_CONTROLE[CHAVE],BS_CONTROLE[Quantidade_11],"-")</f>
        <v>125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MALHA CENTRAL</v>
      </c>
      <c r="E142" s="96" t="str">
        <f>IF(FN_MC!T145="","*",FN_MC!T145)</f>
        <v>RAMAL</v>
      </c>
      <c r="F142" s="96">
        <f>IF(FN_MC!B145="","*",FN_MC!B145)</f>
        <v>46066</v>
      </c>
      <c r="G142" s="96" t="str">
        <f>IF(FN_MC!D145="","*",FN_MC!D145)</f>
        <v>A88</v>
      </c>
      <c r="H142" s="96" t="str">
        <f>IF(FN_MC!F145="","*",FN_MC!F145)</f>
        <v>DESLOCAMENTO</v>
      </c>
      <c r="I142" s="96" t="str">
        <f>IF(FN_MC!H145="","*",FN_MC!H145)</f>
        <v>ZJU2</v>
      </c>
      <c r="J142" s="96" t="str">
        <f>IF(FN_MC!I145="","*",FN_MC!I145)</f>
        <v>ZDK</v>
      </c>
      <c r="K142" s="96" t="str">
        <f>IF(FN_MC!M145="","*",FN_MC!M145)</f>
        <v>ZJU-ZDK</v>
      </c>
      <c r="L142" s="196" t="str">
        <f>IF(FN_MC!N145="","*",FN_MC!N145)</f>
        <v>ZJUZDK</v>
      </c>
      <c r="M142" s="97">
        <f>IF(FN_MC!J145="","*",FN_MC!J145)</f>
        <v>78</v>
      </c>
      <c r="N142" s="183">
        <f>IF(FN_MC!K145="","*",FN_MC!K145)</f>
        <v>275.3</v>
      </c>
      <c r="O142" s="183" t="str">
        <f>IF(FN_MC!L145="","*",FN_MC!L145)</f>
        <v>-</v>
      </c>
      <c r="P142" s="107">
        <f>IF(FN_MC!O145="","*",FN_MC!O145)</f>
        <v>0.5</v>
      </c>
      <c r="Q142" s="107">
        <f>IF(FN_MC!P145="","*",FN_MC!P145)</f>
        <v>4.1666666666666664E-2</v>
      </c>
      <c r="R142" s="96" t="str">
        <f>IF(FN_MC!Q145="","*",CONCATENATE(FN_MC!Q145," ",FN_MC!R145))</f>
        <v>1 BINÁRIO</v>
      </c>
      <c r="S142" s="96" t="str">
        <f>IF(FN_MC!V145="","*",FN_MC!V145)</f>
        <v>Wesley</v>
      </c>
      <c r="T142" s="96" t="str">
        <f>IF(FN_MC!W145="","*",FN_MC!W145)</f>
        <v>Ronda de auto</v>
      </c>
      <c r="U142" s="98">
        <f ca="1">_xlfn.XLOOKUP(G142&amp;$U$3,BS_CONTROLE[CHAVE],BS_CONTROLE[Quantidade_11],"-")</f>
        <v>1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IF(FN_MC!D147="","*",FN_MC!D147)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e">
        <f>IF(FN_MC!#REF!="","*",FN_MC!#REF!)</f>
        <v>#REF!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e">
        <f ca="1">_xlfn.XLOOKUP(G144&amp;$U$3,BS_CONTROLE[CHAVE],BS_CONTROLE[Quantidade_11],"-")</f>
        <v>#REF!</v>
      </c>
      <c r="V144" s="98" t="e">
        <f ca="1">_xlfn.XLOOKUP(G144&amp;$V$3,BS_CONTROLE[CHAVE],BS_CONTROLE[Quantidade_11],"-")</f>
        <v>#REF!</v>
      </c>
      <c r="W144" s="98" t="e">
        <f ca="1">_xlfn.XLOOKUP(G144&amp;$W$3,BS_CONTROLE[CHAVE],BS_CONTROLE[Quantidade_11],"-")</f>
        <v>#REF!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>
        <f>IF(FN_MC!B148="","*",FN_MC!B148)</f>
        <v>46067</v>
      </c>
      <c r="G145" s="96" t="str">
        <f>IF(FN_MC!D148="","*",FN_MC!D148)</f>
        <v>V86</v>
      </c>
      <c r="H145" s="96" t="str">
        <f>IF(FN_MC!F148="","*",FN_MC!F148)</f>
        <v>MECANIZAÇÃO - SOCADORA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>
        <f ca="1">_xlfn.XLOOKUP(G145&amp;$U$3,BS_CONTROLE[CHAVE],BS_CONTROLE[Quantidade_11],"-")</f>
        <v>0</v>
      </c>
      <c r="V145" s="98">
        <f ca="1">_xlfn.XLOOKUP(G145&amp;$V$3,BS_CONTROLE[CHAVE],BS_CONTROLE[Quantidade_11],"-")</f>
        <v>0</v>
      </c>
      <c r="W145" s="98">
        <f ca="1">_xlfn.XLOOKUP(G145&amp;$W$3,BS_CONTROLE[CHAVE],BS_CONTROLE[Quantidade_11],"-")</f>
        <v>4512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TGR-TRO</v>
      </c>
      <c r="F146" s="96">
        <f>IF(FN_MC!B149="","*",FN_MC!B149)</f>
        <v>46067</v>
      </c>
      <c r="G146" s="96" t="str">
        <f>IF(FN_MC!D149="","*",FN_MC!D149)</f>
        <v>BRUNO (TF-525)</v>
      </c>
      <c r="H146" s="96" t="str">
        <f>IF(FN_MC!F149="","*",FN_MC!F149)</f>
        <v>PDM - SOLDA</v>
      </c>
      <c r="I146" s="96" t="str">
        <f>IF(FN_MC!H149="","*",FN_MC!H149)</f>
        <v>TBS671</v>
      </c>
      <c r="J146" s="96" t="str">
        <f>IF(FN_MC!I149="","*",FN_MC!I149)</f>
        <v>-</v>
      </c>
      <c r="K146" s="96" t="str">
        <f>IF(FN_MC!M149="","*",FN_MC!M149)</f>
        <v>TBS-TAL</v>
      </c>
      <c r="L146" s="196" t="str">
        <f>IF(FN_MC!N149="","*",FN_MC!N149)</f>
        <v>TBS671</v>
      </c>
      <c r="M146" s="97">
        <f>IF(FN_MC!J149="","*",FN_MC!J149)</f>
        <v>98</v>
      </c>
      <c r="N146" s="183">
        <f>IF(FN_MC!K149="","*",FN_MC!K149)</f>
        <v>662.4</v>
      </c>
      <c r="O146" s="183" t="str">
        <f>IF(FN_MC!L149="","*",FN_MC!L149)</f>
        <v>-</v>
      </c>
      <c r="P146" s="107">
        <f>IF(FN_MC!O149="","*",FN_MC!O149)</f>
        <v>0.375</v>
      </c>
      <c r="Q146" s="107">
        <f>IF(FN_MC!P149="","*",FN_MC!P149)</f>
        <v>6.25E-2</v>
      </c>
      <c r="R146" s="96" t="str">
        <f>IF(FN_MC!Q149="","*",CONCATENATE(FN_MC!Q149," ",FN_MC!R149))</f>
        <v>2 Nº DE SOLDA</v>
      </c>
      <c r="S146" s="96" t="str">
        <f>IF(FN_MC!V149="","*",FN_MC!V149)</f>
        <v>Bruno</v>
      </c>
      <c r="T146" s="96" t="str">
        <f>IF(FN_MC!W149="","*",FN_MC!W149)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FERRONORTE</v>
      </c>
      <c r="E147" s="96" t="str">
        <f>IF(FN_MC!T150="","*",FN_MC!T150)</f>
        <v>TCS-TGR</v>
      </c>
      <c r="F147" s="96">
        <f>IF(FN_MC!B150="","*",FN_MC!B150)</f>
        <v>46067</v>
      </c>
      <c r="G147" s="96" t="str">
        <f>IF(FN_MC!D150="","*",FN_MC!D150)</f>
        <v>ELSON (TF-526)</v>
      </c>
      <c r="H147" s="96" t="str">
        <f>IF(FN_MC!F150="","*",FN_MC!F150)</f>
        <v>PDM - SOLDA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TIP</v>
      </c>
      <c r="L147" s="196" t="str">
        <f>IF(FN_MC!N150="","*",FN_MC!N150)</f>
        <v>TIP1</v>
      </c>
      <c r="M147" s="97">
        <f>IF(FN_MC!J150="","*",FN_MC!J150)</f>
        <v>74</v>
      </c>
      <c r="N147" s="183">
        <f>IF(FN_MC!K150="","*",FN_MC!K150)</f>
        <v>396.94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Elson</v>
      </c>
      <c r="T147" s="96" t="str">
        <f>IF(FN_MC!W150="","*",FN_MC!W150)</f>
        <v xml:space="preserve">Execução de solda - Condicionado a temperatura </v>
      </c>
      <c r="U147" s="98" t="str">
        <f ca="1">_xlfn.XLOOKUP(G147&amp;$U$3,BS_CONTROLE[CHAVE],BS_CONTROLE[Quantidade_11],"-")</f>
        <v>-</v>
      </c>
      <c r="V147" s="98">
        <f ca="1">_xlfn.XLOOKUP(G147&amp;$V$3,BS_CONTROLE[CHAVE],BS_CONTROLE[Quantidade_11],"-")</f>
        <v>0</v>
      </c>
      <c r="W147" s="98">
        <f ca="1">_xlfn.XLOOKUP(G147&amp;$W$3,BS_CONTROLE[CHAVE],BS_CONTROLE[Quantidade_11],"-")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FERRONORTE</v>
      </c>
      <c r="E150" s="96" t="str">
        <f>IF(FN_MC!T153="","*",FN_MC!T153)</f>
        <v>TMI-TCS</v>
      </c>
      <c r="F150" s="96">
        <f>IF(FN_MC!B153="","*",FN_MC!B153)</f>
        <v>46067</v>
      </c>
      <c r="G150" s="96" t="str">
        <f>IF(FN_MC!D153="","*",FN_MC!D153)</f>
        <v>MARCOS (TF-520)</v>
      </c>
      <c r="H150" s="96" t="str">
        <f>IF(FN_MC!F153="","*",FN_MC!F153)</f>
        <v>PDM - SOLDA</v>
      </c>
      <c r="I150" s="96" t="str">
        <f>IF(FN_MC!H153="","*",FN_MC!H153)</f>
        <v>TAPK35</v>
      </c>
      <c r="J150" s="96" t="str">
        <f>IF(FN_MC!I153="","*",FN_MC!I153)</f>
        <v>-</v>
      </c>
      <c r="K150" s="96" t="str">
        <f>IF(FN_MC!M153="","*",FN_MC!M153)</f>
        <v>TAP-TLG</v>
      </c>
      <c r="L150" s="196" t="str">
        <f>IF(FN_MC!N153="","*",FN_MC!N153)</f>
        <v>TAPK35</v>
      </c>
      <c r="M150" s="97">
        <f>IF(FN_MC!J153="","*",FN_MC!J153)</f>
        <v>74</v>
      </c>
      <c r="N150" s="183">
        <f>IF(FN_MC!K153="","*",FN_MC!K153)</f>
        <v>26.818999999999999</v>
      </c>
      <c r="O150" s="183" t="str">
        <f>IF(FN_MC!L153="","*",FN_MC!L153)</f>
        <v>-</v>
      </c>
      <c r="P150" s="107">
        <f>IF(FN_MC!O153="","*",FN_MC!O153)</f>
        <v>0.35416666666666669</v>
      </c>
      <c r="Q150" s="107">
        <f>IF(FN_MC!P153="","*",FN_MC!P153)</f>
        <v>8.3333333333333329E-2</v>
      </c>
      <c r="R150" s="96" t="str">
        <f>IF(FN_MC!Q153="","*",CONCATENATE(FN_MC!Q153," ",FN_MC!R153))</f>
        <v>1 Nº DE SOLDA</v>
      </c>
      <c r="S150" s="96" t="str">
        <f>IF(FN_MC!V153="","*",FN_MC!V153)</f>
        <v>Marcos Euzebio</v>
      </c>
      <c r="T150" s="96" t="str">
        <f>IF(FN_MC!W153="","*",FN_MC!W153)</f>
        <v xml:space="preserve">Execução de solda - Condicionado a temperatura </v>
      </c>
      <c r="U150" s="98">
        <f ca="1">_xlfn.XLOOKUP(G150&amp;$U$3,BS_CONTROLE[CHAVE],BS_CONTROLE[Quantidade_11],"-")</f>
        <v>2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3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1578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1579</v>
      </c>
      <c r="C4" s="191" t="s">
        <v>1580</v>
      </c>
      <c r="D4" s="191" t="s">
        <v>1581</v>
      </c>
      <c r="E4" s="191" t="s">
        <v>1582</v>
      </c>
      <c r="F4" s="191" t="s">
        <v>366</v>
      </c>
      <c r="G4" s="191" t="s">
        <v>1583</v>
      </c>
    </row>
    <row r="5" spans="2:7">
      <c r="B5" s="192" t="s">
        <v>1584</v>
      </c>
      <c r="C5" s="192">
        <v>309525</v>
      </c>
      <c r="D5" s="192" t="s">
        <v>1585</v>
      </c>
      <c r="E5" s="192" t="s">
        <v>249</v>
      </c>
      <c r="F5" s="192" t="s">
        <v>1586</v>
      </c>
      <c r="G5" s="193">
        <v>46296</v>
      </c>
    </row>
    <row r="6" spans="2:7">
      <c r="B6" s="192" t="s">
        <v>1587</v>
      </c>
      <c r="C6" s="192">
        <v>257410</v>
      </c>
      <c r="D6" s="192" t="s">
        <v>1588</v>
      </c>
      <c r="E6" s="192" t="s">
        <v>249</v>
      </c>
      <c r="F6" s="192" t="s">
        <v>1586</v>
      </c>
      <c r="G6" s="193"/>
    </row>
    <row r="7" spans="2:7">
      <c r="B7" s="192" t="s">
        <v>1481</v>
      </c>
      <c r="C7" s="192">
        <v>256875</v>
      </c>
      <c r="D7" s="192" t="s">
        <v>1589</v>
      </c>
      <c r="E7" s="192" t="s">
        <v>249</v>
      </c>
      <c r="F7" s="192" t="s">
        <v>1586</v>
      </c>
      <c r="G7" s="193">
        <v>46296</v>
      </c>
    </row>
    <row r="8" spans="2:7">
      <c r="B8" s="192" t="s">
        <v>1590</v>
      </c>
      <c r="C8" s="192">
        <v>257278</v>
      </c>
      <c r="D8" s="192" t="s">
        <v>1591</v>
      </c>
      <c r="E8" s="192" t="s">
        <v>240</v>
      </c>
      <c r="F8" s="192" t="s">
        <v>1592</v>
      </c>
      <c r="G8" s="193">
        <v>46235</v>
      </c>
    </row>
    <row r="9" spans="2:7">
      <c r="B9" s="192" t="s">
        <v>1593</v>
      </c>
      <c r="C9" s="192">
        <v>261794</v>
      </c>
      <c r="D9" s="192" t="s">
        <v>1594</v>
      </c>
      <c r="E9" s="192" t="s">
        <v>240</v>
      </c>
      <c r="F9" s="192" t="s">
        <v>1592</v>
      </c>
      <c r="G9" s="193">
        <v>46082</v>
      </c>
    </row>
    <row r="10" spans="2:7">
      <c r="B10" s="192" t="s">
        <v>1595</v>
      </c>
      <c r="C10" s="192">
        <v>257033</v>
      </c>
      <c r="D10" s="192" t="s">
        <v>1596</v>
      </c>
      <c r="E10" s="192" t="s">
        <v>240</v>
      </c>
      <c r="F10" s="192" t="s">
        <v>480</v>
      </c>
      <c r="G10" s="192" t="s">
        <v>1597</v>
      </c>
    </row>
    <row r="11" spans="2:7">
      <c r="B11" s="192" t="s">
        <v>1598</v>
      </c>
      <c r="C11" s="192">
        <v>396578</v>
      </c>
      <c r="D11" s="192" t="s">
        <v>1599</v>
      </c>
      <c r="E11" s="192" t="s">
        <v>240</v>
      </c>
      <c r="F11" s="192" t="s">
        <v>480</v>
      </c>
      <c r="G11" s="192" t="s">
        <v>1597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1600</v>
      </c>
      <c r="D5" s="274"/>
      <c r="E5" s="274"/>
      <c r="F5" s="274"/>
      <c r="G5" s="274"/>
      <c r="H5" s="274"/>
      <c r="I5" s="274"/>
      <c r="J5" s="275"/>
      <c r="K5" s="276" t="s">
        <v>1601</v>
      </c>
      <c r="L5" s="277"/>
      <c r="M5" s="277"/>
      <c r="N5" s="277"/>
      <c r="O5" s="278" t="s">
        <v>1602</v>
      </c>
      <c r="P5" s="279"/>
      <c r="Q5" s="280"/>
    </row>
    <row r="6" spans="1:17" s="81" customFormat="1" ht="15.75" customHeight="1">
      <c r="A6" s="75" t="s">
        <v>1576</v>
      </c>
      <c r="B6" s="82" t="s">
        <v>1575</v>
      </c>
      <c r="C6" s="83" t="s">
        <v>1211</v>
      </c>
      <c r="D6" s="84" t="s">
        <v>1212</v>
      </c>
      <c r="E6" s="83" t="s">
        <v>1603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1604</v>
      </c>
      <c r="M6" s="116" t="s">
        <v>29</v>
      </c>
      <c r="N6" s="117" t="s">
        <v>1206</v>
      </c>
      <c r="O6" s="165" t="s">
        <v>1249</v>
      </c>
      <c r="P6" s="128"/>
      <c r="Q6" s="139" t="s">
        <v>1605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1</v>
      </c>
      <c r="P155" s="78"/>
      <c r="Q155" s="120" t="str">
        <f>IF($A$2=1,IF(FN_MC!BJ133="","*",FN_MC!BJ133),IF(FN_MC!BK133="","*",FN_MC!BK133))</f>
        <v>MC1 09:33, faixa após W70 as  12:30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1</v>
      </c>
      <c r="P156" s="78"/>
      <c r="Q156" s="120" t="str">
        <f>IF($A$2=1,IF(FN_MC!BJ134="","*",FN_MC!BJ134),IF(FN_MC!BK134="","*",FN_MC!BK134))</f>
        <v xml:space="preserve">MC1 09:44, autorizado 10:37, em deslocamento para intervalo 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Pronto as 07:54h - chuva no local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1</v>
      </c>
      <c r="P160" s="78"/>
      <c r="Q160" s="120" t="str">
        <f>IF($A$2=1,IF(FN_MC!BJ138="","*",FN_MC!BJ138),IF(FN_MC!BK138="","*",FN_MC!BK138))</f>
        <v>Pronto as 8h - Intervalo das 12: 13h as 14:13h</v>
      </c>
    </row>
    <row r="161" spans="1:17">
      <c r="A161" s="85">
        <f>IF(FN_MC!B139="","*",FN_MC!B139)</f>
        <v>46066</v>
      </c>
      <c r="B161" s="86" t="str">
        <f>IF(FN_MC!X139="","*",FN_MC!X139)</f>
        <v>Contrato</v>
      </c>
      <c r="C161" s="87" t="str">
        <f>IF(FN_MC!S139="","*",FN_MC!S139)</f>
        <v>FERRONORTE</v>
      </c>
      <c r="D161" s="87" t="str">
        <f>IF(FN_MC!T139="","*",FN_MC!T139)</f>
        <v>TMI-TCS</v>
      </c>
      <c r="E161" s="87" t="str">
        <f>IF(FN_MC!D139="","*",FN_MC!D139)</f>
        <v>W50</v>
      </c>
      <c r="F161" s="87" t="str">
        <f>IF(FN_MC!H139="","*",FN_MC!H139)</f>
        <v xml:space="preserve">TCS2 </v>
      </c>
      <c r="G161" s="87" t="str">
        <f>IF(FN_MC!M139="","*",FN_MC!M139)</f>
        <v>TVI-TJA</v>
      </c>
      <c r="H161" s="125">
        <f>IF(FN_MC!K139="","*",FN_MC!K139)</f>
        <v>227.935</v>
      </c>
      <c r="I161" s="110">
        <f>IF(FN_MC!O139="","*",FN_MC!O139)</f>
        <v>0.35416666666666669</v>
      </c>
      <c r="J161" s="110">
        <f>IF(FN_MC!P139="","*",FN_MC!P139)</f>
        <v>0.16666666666666666</v>
      </c>
      <c r="K161" s="118" t="str">
        <f>IF(FN_MC!AK139="","*",FN_MC!AK139)</f>
        <v xml:space="preserve">TCS2 </v>
      </c>
      <c r="L161" s="118" t="str">
        <f>IF(FN_MC!AM139="","*",FN_MC!AM139)</f>
        <v>TVI-TJA</v>
      </c>
      <c r="M161" s="118">
        <f>IF(FN_MC!AP139="","*",FN_MC!AP139)</f>
        <v>227.935</v>
      </c>
      <c r="N161" s="118" t="str">
        <f>IF(FN_MC!AM139="","*",FN_MC!AM139)</f>
        <v>TVI-TJA</v>
      </c>
      <c r="O161" s="136">
        <f>FN_MC!BH139</f>
        <v>1</v>
      </c>
      <c r="P161" s="78"/>
      <c r="Q161" s="120" t="str">
        <f>IF($A$2=1,IF(FN_MC!BJ139="","*",FN_MC!BJ139),IF(FN_MC!BK139="","*",FN_MC!BK139))</f>
        <v>MC1 07:24 autorizado 09:45, em intervalo 11:03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Contrato</v>
      </c>
      <c r="C164" s="87" t="str">
        <f>IF(FN_MC!S142="","*",FN_MC!S142)</f>
        <v>FERRONORTE</v>
      </c>
      <c r="D164" s="87" t="str">
        <f>IF(FN_MC!T142="","*",FN_MC!T142)</f>
        <v>TMI-TCS</v>
      </c>
      <c r="E164" s="87" t="str">
        <f>IF(FN_MC!D142="","*",FN_MC!D142)</f>
        <v>W48</v>
      </c>
      <c r="F164" s="87" t="str">
        <f>IF(FN_MC!H142="","*",FN_MC!H142)</f>
        <v>TAP2</v>
      </c>
      <c r="G164" s="87" t="str">
        <f>IF(FN_MC!M142="","*",FN_MC!M142)</f>
        <v>TLG-TQI</v>
      </c>
      <c r="H164" s="125">
        <f>IF(FN_MC!K142="","*",FN_MC!K142)</f>
        <v>44.32</v>
      </c>
      <c r="I164" s="110">
        <f>IF(FN_MC!O142="","*",FN_MC!O142)</f>
        <v>0.35416666666666669</v>
      </c>
      <c r="J164" s="110">
        <f>IF(FN_MC!P142="","*",FN_MC!P142)</f>
        <v>0.16666666666666666</v>
      </c>
      <c r="K164" s="118" t="str">
        <f>IF(FN_MC!AK142="","*",FN_MC!AK142)</f>
        <v>TAP2</v>
      </c>
      <c r="L164" s="118" t="str">
        <f>IF(FN_MC!AM142="","*",FN_MC!AM142)</f>
        <v>TLG-TQI</v>
      </c>
      <c r="M164" s="118">
        <f>IF(FN_MC!AP142="","*",FN_MC!AP142)</f>
        <v>44.32</v>
      </c>
      <c r="N164" s="118" t="str">
        <f>IF(FN_MC!AM142="","*",FN_MC!AM142)</f>
        <v>TLG-TQI</v>
      </c>
      <c r="O164" s="136">
        <f>FN_MC!BH142</f>
        <v>1</v>
      </c>
      <c r="P164" s="78"/>
      <c r="Q164" s="120" t="str">
        <f>IF($A$2=1,IF(FN_MC!BJ142="","*",FN_MC!BJ142),IF(FN_MC!BK142="","*",FN_MC!BK142))</f>
        <v>MC1 08:42, autorizado 09:17, em intervalo 11:23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2</v>
      </c>
      <c r="P165" s="78"/>
      <c r="Q165" s="120" t="str">
        <f>IF($A$2=1,IF(FN_MC!BJ143="","*",FN_MC!BJ143),IF(FN_MC!BK143="","*",FN_MC!BK143))</f>
        <v>Pronto as 07:51h -não teve temperatura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2</v>
      </c>
      <c r="P166" s="78"/>
      <c r="Q166" s="120" t="str">
        <f>IF($A$2=1,IF(FN_MC!BJ144="","*",FN_MC!BJ144),IF(FN_MC!BK144="","*",FN_MC!BK144))</f>
        <v xml:space="preserve"> Intervalo das 10:28h as 12:28h</v>
      </c>
    </row>
    <row r="167" spans="1:17">
      <c r="A167" s="85">
        <f>IF(FN_MC!B145="","*",FN_MC!B145)</f>
        <v>46066</v>
      </c>
      <c r="B167" s="86" t="str">
        <f>IF(FN_MC!X145="","*",FN_MC!X145)</f>
        <v>Oportunidade</v>
      </c>
      <c r="C167" s="87" t="str">
        <f>IF(FN_MC!S145="","*",FN_MC!S145)</f>
        <v>MALHA CENTRAL</v>
      </c>
      <c r="D167" s="87" t="str">
        <f>IF(FN_MC!T145="","*",FN_MC!T145)</f>
        <v>RAMAL</v>
      </c>
      <c r="E167" s="87" t="str">
        <f>IF(FN_MC!D145="","*",FN_MC!D145)</f>
        <v>A88</v>
      </c>
      <c r="F167" s="87" t="str">
        <f>IF(FN_MC!H145="","*",FN_MC!H145)</f>
        <v>ZJU2</v>
      </c>
      <c r="G167" s="87" t="str">
        <f>IF(FN_MC!M145="","*",FN_MC!M145)</f>
        <v>ZJU-ZDK</v>
      </c>
      <c r="H167" s="125">
        <f>IF(FN_MC!K145="","*",FN_MC!K145)</f>
        <v>275.3</v>
      </c>
      <c r="I167" s="110">
        <f>IF(FN_MC!O145="","*",FN_MC!O145)</f>
        <v>0.5</v>
      </c>
      <c r="J167" s="110">
        <f>IF(FN_MC!P145="","*",FN_MC!P145)</f>
        <v>4.1666666666666664E-2</v>
      </c>
      <c r="K167" s="118" t="str">
        <f>IF(FN_MC!AK145="","*",FN_MC!AK145)</f>
        <v>ZJU2</v>
      </c>
      <c r="L167" s="118" t="str">
        <f>IF(FN_MC!AM145="","*",FN_MC!AM145)</f>
        <v>ZJU-ZDK</v>
      </c>
      <c r="M167" s="118">
        <f>IF(FN_MC!AP145="","*",FN_MC!AP145)</f>
        <v>275.3</v>
      </c>
      <c r="N167" s="118" t="str">
        <f>IF(FN_MC!AM145="","*",FN_MC!AM145)</f>
        <v>ZJU-ZDK</v>
      </c>
      <c r="O167" s="136">
        <f>FN_MC!BH145</f>
        <v>1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IF(FN_MC!D147="","*",FN_MC!D147)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e">
        <f>IF(FN_MC!#REF!="","*",FN_MC!#REF!)</f>
        <v>#REF!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>
        <f>IF(FN_MC!B148="","*",FN_MC!B148)</f>
        <v>46067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V86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>
        <f>IF(FN_MC!B149="","*",FN_MC!B149)</f>
        <v>46067</v>
      </c>
      <c r="B171" s="86" t="str">
        <f>IF(FN_MC!X149="","*",FN_MC!X149)</f>
        <v>*</v>
      </c>
      <c r="C171" s="87" t="str">
        <f>IF(FN_MC!S149="","*",FN_MC!S149)</f>
        <v>FERRONORTE</v>
      </c>
      <c r="D171" s="87" t="str">
        <f>IF(FN_MC!T149="","*",FN_MC!T149)</f>
        <v>TGR-TRO</v>
      </c>
      <c r="E171" s="87" t="str">
        <f>IF(FN_MC!D149="","*",FN_MC!D149)</f>
        <v>BRUNO (TF-525)</v>
      </c>
      <c r="F171" s="87" t="str">
        <f>IF(FN_MC!H149="","*",FN_MC!H149)</f>
        <v>TBS671</v>
      </c>
      <c r="G171" s="87" t="str">
        <f>IF(FN_MC!M149="","*",FN_MC!M149)</f>
        <v>TBS-TAL</v>
      </c>
      <c r="H171" s="125">
        <f>IF(FN_MC!K149="","*",FN_MC!K149)</f>
        <v>662.4</v>
      </c>
      <c r="I171" s="110">
        <f>IF(FN_MC!O149="","*",FN_MC!O149)</f>
        <v>0.375</v>
      </c>
      <c r="J171" s="110">
        <f>IF(FN_MC!P149="","*",FN_MC!P149)</f>
        <v>6.25E-2</v>
      </c>
      <c r="K171" s="118" t="str">
        <f>IF(FN_MC!AK149="","*",FN_MC!AK149)</f>
        <v>TBS671</v>
      </c>
      <c r="L171" s="118" t="str">
        <f>IF(FN_MC!AM149="","*",FN_MC!AM149)</f>
        <v>TBS-TAL</v>
      </c>
      <c r="M171" s="118">
        <f>IF(FN_MC!AP149="","*",FN_MC!AP149)</f>
        <v>662.4</v>
      </c>
      <c r="N171" s="118" t="str">
        <f>IF(FN_MC!AM149="","*",FN_MC!AM149)</f>
        <v>TBS-TAL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>
        <f>IF(FN_MC!B150="","*",FN_MC!B150)</f>
        <v>46067</v>
      </c>
      <c r="B172" s="86" t="str">
        <f>IF(FN_MC!X150="","*",FN_MC!X150)</f>
        <v>*</v>
      </c>
      <c r="C172" s="87" t="str">
        <f>IF(FN_MC!S150="","*",FN_MC!S150)</f>
        <v>FERRONORTE</v>
      </c>
      <c r="D172" s="87" t="str">
        <f>IF(FN_MC!T150="","*",FN_MC!T150)</f>
        <v>TCS-TGR</v>
      </c>
      <c r="E172" s="87" t="str">
        <f>IF(FN_MC!D150="","*",FN_MC!D150)</f>
        <v>ELSON (TF-526)</v>
      </c>
      <c r="F172" s="87" t="str">
        <f>IF(FN_MC!H150="","*",FN_MC!H150)</f>
        <v>*</v>
      </c>
      <c r="G172" s="87" t="str">
        <f>IF(FN_MC!M150="","*",FN_MC!M150)</f>
        <v>TIP</v>
      </c>
      <c r="H172" s="125">
        <f>IF(FN_MC!K150="","*",FN_MC!K150)</f>
        <v>396.94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TIP</v>
      </c>
      <c r="M172" s="118">
        <f>IF(FN_MC!AP150="","*",FN_MC!AP150)</f>
        <v>396.94</v>
      </c>
      <c r="N172" s="118" t="str">
        <f>IF(FN_MC!AM150="","*",FN_MC!AM150)</f>
        <v>TIP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>
        <f>IF(FN_MC!B153="","*",FN_MC!B153)</f>
        <v>46067</v>
      </c>
      <c r="B175" s="86" t="str">
        <f>IF(FN_MC!X153="","*",FN_MC!X153)</f>
        <v>*</v>
      </c>
      <c r="C175" s="87" t="str">
        <f>IF(FN_MC!S153="","*",FN_MC!S153)</f>
        <v>FERRONORTE</v>
      </c>
      <c r="D175" s="87" t="str">
        <f>IF(FN_MC!T153="","*",FN_MC!T153)</f>
        <v>TMI-TCS</v>
      </c>
      <c r="E175" s="87" t="str">
        <f>IF(FN_MC!D153="","*",FN_MC!D153)</f>
        <v>MARCOS (TF-520)</v>
      </c>
      <c r="F175" s="87" t="str">
        <f>IF(FN_MC!H153="","*",FN_MC!H153)</f>
        <v>TAPK35</v>
      </c>
      <c r="G175" s="87" t="str">
        <f>IF(FN_MC!M153="","*",FN_MC!M153)</f>
        <v>TAP-TLG</v>
      </c>
      <c r="H175" s="125">
        <f>IF(FN_MC!K153="","*",FN_MC!K153)</f>
        <v>26.818999999999999</v>
      </c>
      <c r="I175" s="110">
        <f>IF(FN_MC!O153="","*",FN_MC!O153)</f>
        <v>0.35416666666666669</v>
      </c>
      <c r="J175" s="110">
        <f>IF(FN_MC!P153="","*",FN_MC!P153)</f>
        <v>8.3333333333333329E-2</v>
      </c>
      <c r="K175" s="118" t="str">
        <f>IF(FN_MC!AK153="","*",FN_MC!AK153)</f>
        <v>TAPK35</v>
      </c>
      <c r="L175" s="118" t="str">
        <f>IF(FN_MC!AM153="","*",FN_MC!AM153)</f>
        <v>TAP-TLG</v>
      </c>
      <c r="M175" s="118">
        <f>IF(FN_MC!AP153="","*",FN_MC!AP153)</f>
        <v>26.818999999999999</v>
      </c>
      <c r="N175" s="118" t="str">
        <f>IF(FN_MC!AM153="","*",FN_MC!AM153)</f>
        <v>TAP-TLG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2026-02-13T16:36:52Z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