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40" documentId="8_{B6337239-1A00-434D-AAD0-422EA1FEB5AE}" xr6:coauthVersionLast="47" xr6:coauthVersionMax="47" xr10:uidLastSave="{D089F3AC-A950-44A4-A4BA-E5AD114ACF0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5" i="1" l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L355" i="12" s="1"/>
  <c r="R358" i="1"/>
  <c r="S355" i="12" s="1"/>
  <c r="S358" i="1" a="1"/>
  <c r="S358" i="1" s="1"/>
  <c r="D355" i="12" s="1"/>
  <c r="T358" i="1" a="1"/>
  <c r="T358" i="1" s="1"/>
  <c r="E355" i="12" s="1"/>
  <c r="U358" i="1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7" i="1" l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<sst xmlns="http://schemas.openxmlformats.org/spreadsheetml/2006/main" count="9481" uniqueCount="1928">
  <si>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</si>
  <si>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</si>
  <si>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</si>
  <si>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</si>
  <si>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</si>
  <si>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</si>
  <si>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</si>
  <si>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</si>
  <si>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</si>
  <si>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</si>
  <si>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</si>
  <si>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</si>
  <si>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</si>
  <si>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</si>
  <si>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</si>
  <si>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</si>
  <si>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</si>
  <si>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</si>
  <si>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</si>
  <si>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</si>
  <si>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</si>
  <si>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</si>
  <si>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</si>
  <si>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</si>
  <si>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</si>
  <si>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</si>
  <si>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</si>
  <si>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</si>
  <si>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</si>
  <si>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</si>
  <si>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</si>
  <si>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</si>
  <si>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</si>
  <si>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</si>
  <si>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</si>
  <si>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</si>
  <si>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</si>
  <si>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</si>
  <si>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</si>
  <si>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</si>
  <si>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</si>
  <si>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</si>
  <si>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</si>
  <si>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</si>
  <si>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</si>
  <si>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</si>
  <si>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</si>
  <si>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</si>
  <si>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</si>
  <si>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</si>
  <si>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</si>
  <si>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</si>
  <si>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</si>
  <si>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</si>
  <si>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</si>
  <si>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</si>
  <si>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</si>
  <si>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</si>
  <si>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</si>
  <si>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</si>
  <si>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</si>
  <si>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</si>
  <si>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</si>
  <si>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</si>
  <si>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</si>
  <si>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</si>
  <si>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</si>
  <si>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</si>
  <si>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</si>
  <si>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</si>
  <si>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</si>
  <si>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</si>
  <si>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</si>
  <si>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</si>
  <si>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</si>
  <si>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</si>
  <si>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</si>
  <si>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</si>
  <si>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</si>
  <si>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</si>
  <si>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</si>
  <si>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</si>
  <si>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</si>
  <si>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</si>
  <si>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</si>
  <si>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</si>
  <si>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</si>
  <si>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</si>
  <si>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</si>
  <si>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</si>
  <si>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</si>
  <si>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</si>
  <si>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</si>
  <si>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</si>
  <si>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</si>
  <si>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</si>
  <si>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</si>
  <si>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</si>
  <si>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</si>
  <si>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</si>
  <si>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</si>
  <si>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</si>
  <si>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</si>
  <si>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</si>
  <si>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</si>
  <si>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</si>
  <si>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</si>
  <si>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</si>
  <si>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</si>
  <si>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</si>
  <si>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</si>
  <si>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</si>
  <si>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</si>
  <si>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</si>
  <si>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</si>
  <si>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</si>
  <si>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</si>
  <si>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</si>
  <si>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</si>
  <si>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</si>
  <si>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</si>
  <si>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</si>
  <si>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</si>
  <si>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</si>
  <si>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</si>
  <si>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</si>
  <si>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</si>
  <si>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</si>
  <si>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</si>
  <si>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</si>
  <si>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</si>
  <si>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</si>
  <si>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</si>
  <si>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</si>
  <si>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</si>
  <si>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</si>
  <si>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</si>
  <si>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</si>
  <si>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</si>
  <si>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</si>
  <si>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</si>
  <si>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</si>
  <si>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</si>
  <si>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</si>
  <si>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</si>
  <si>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</si>
  <si>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</si>
  <si>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</si>
  <si>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</si>
  <si>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</si>
  <si>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</si>
  <si>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</si>
  <si>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</si>
  <si>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</si>
  <si>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</si>
  <si>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</si>
  <si>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</si>
  <si>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</si>
  <si>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</si>
  <si>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</si>
  <si>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</si>
  <si>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</si>
  <si>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</si>
  <si>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</si>
  <si>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</si>
  <si>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</si>
  <si>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</si>
  <si>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</si>
  <si>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</si>
  <si>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</si>
  <si>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</si>
  <si>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</si>
  <si>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</si>
  <si>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</si>
  <si>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</si>
  <si>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</si>
  <si>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</si>
  <si>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</si>
  <si>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</si>
  <si>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</si>
  <si>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</si>
  <si>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</si>
  <si>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</si>
  <si>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</si>
  <si>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</si>
  <si>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</si>
  <si>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</si>
  <si>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</si>
  <si>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</si>
  <si>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</si>
  <si>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</si>
  <si>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</si>
  <si>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</si>
  <si>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</si>
  <si>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</si>
  <si>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</si>
  <si>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</si>
  <si>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</si>
  <si>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</si>
  <si>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</si>
  <si>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</si>
  <si>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</si>
  <si>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</si>
  <si>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</si>
  <si>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</si>
  <si>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</si>
  <si>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</si>
  <si>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</si>
  <si>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</si>
  <si>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</si>
  <si>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</si>
  <si>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</si>
  <si>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</si>
  <si>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</si>
  <si>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</si>
  <si>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</si>
  <si>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</si>
  <si>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</si>
  <si>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</si>
  <si>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</si>
  <si>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</si>
  <si>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</si>
  <si>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</si>
  <si>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</si>
  <si>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</si>
  <si>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</si>
  <si>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</si>
  <si>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</si>
  <si>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</si>
  <si>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</si>
  <si>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</si>
  <si>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</si>
  <si>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</si>
  <si>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</si>
  <si>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</si>
  <si>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</si>
  <si>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</si>
  <si>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</si>
  <si>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</si>
  <si>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</si>
  <si>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</si>
  <si>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</si>
  <si>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</si>
  <si>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</si>
  <si>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</si>
  <si>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</si>
  <si>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</si>
  <si>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</si>
  <si>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</si>
  <si>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</si>
  <si>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</si>
  <si>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</si>
  <si>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</si>
  <si>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</si>
  <si>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</si>
  <si>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</si>
  <si>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</si>
  <si>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</si>
  <si>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</si>
  <si>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</si>
  <si>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</si>
  <si>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</si>
  <si>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</si>
  <si>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</si>
  <si>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</si>
  <si>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</si>
  <si>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</si>
  <si>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</si>
  <si>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</si>
  <si>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</si>
  <si>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</si>
  <si>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</si>
  <si>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</si>
  <si>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</si>
  <si>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</si>
  <si>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</si>
  <si>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</si>
  <si>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</si>
  <si>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</si>
  <si>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</si>
  <si>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</si>
  <si>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</si>
  <si>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</si>
  <si>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</si>
  <si>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</si>
  <si>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</si>
  <si>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</si>
  <si>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</si>
  <si>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</si>
  <si>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</si>
  <si>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</si>
  <si>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</si>
  <si>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</si>
  <si>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</si>
  <si>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</si>
  <si>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</si>
  <si>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</si>
  <si>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</si>
  <si>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</si>
  <si>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</si>
  <si>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</si>
  <si>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</si>
  <si>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</si>
  <si>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</si>
  <si>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</si>
  <si>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</si>
  <si>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</si>
  <si>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</si>
  <si>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</si>
  <si>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</si>
  <si>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</si>
  <si>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</si>
  <si>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</si>
  <si>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</si>
  <si>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</si>
  <si>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</si>
  <si>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</si>
  <si>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</si>
  <si>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</si>
  <si>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</si>
  <si>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</si>
  <si>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</si>
  <si>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</si>
  <si>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</si>
  <si>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</si>
  <si>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</si>
  <si>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</si>
  <si>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</si>
  <si>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</si>
  <si>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</si>
  <si>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</si>
  <si>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</si>
  <si>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</si>
  <si>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</si>
  <si>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</si>
  <si>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</si>
  <si>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</si>
  <si>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</si>
  <si>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</si>
  <si>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</si>
  <si>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</si>
  <si>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</si>
  <si>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</si>
  <si>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</si>
  <si>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</si>
  <si>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</si>
  <si>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</si>
  <si>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</si>
  <si>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</si>
  <si>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</si>
  <si>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</si>
  <si>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</si>
  <si>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</si>
  <si>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</si>
  <si>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</si>
  <si>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</si>
  <si>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</si>
  <si>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</si>
  <si>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</si>
  <si>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</si>
  <si>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</si>
  <si>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</si>
  <si>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</si>
  <si>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</si>
  <si>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</si>
  <si>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</si>
  <si>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</si>
  <si>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</si>
  <si>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</si>
  <si>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</si>
  <si>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</si>
  <si>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</si>
  <si>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</si>
  <si>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</si>
  <si>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</si>
  <si>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</si>
  <si>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</si>
  <si>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</si>
  <si>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</si>
  <si>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</si>
  <si>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</si>
  <si>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</si>
  <si>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</si>
  <si>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</si>
  <si>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</si>
  <si>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</si>
  <si>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</si>
  <si>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</si>
  <si>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</si>
  <si>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</si>
  <si>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</si>
  <si>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</si>
  <si>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</si>
  <si>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</si>
  <si>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</si>
  <si>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</si>
  <si>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</si>
  <si>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</si>
  <si>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</si>
  <si>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</si>
  <si>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</si>
  <si>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</si>
  <si>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</si>
  <si>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</si>
  <si>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</si>
  <si>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</si>
  <si>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</si>
  <si>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</si>
  <si>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</si>
  <si>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</si>
  <si>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</si>
  <si>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</si>
  <si>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</si>
  <si>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</si>
  <si>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</si>
  <si>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</si>
  <si>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</si>
  <si>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</si>
  <si>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</si>
  <si>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</si>
  <si>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</si>
  <si>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</si>
  <si>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</si>
  <si>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</si>
  <si>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</si>
  <si>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</si>
  <si>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</si>
  <si>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</si>
  <si>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</si>
  <si>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</si>
  <si>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</si>
  <si>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</si>
  <si>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</si>
  <si>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</si>
  <si>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</si>
  <si>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</si>
  <si>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</si>
  <si>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</si>
  <si>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</si>
  <si>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</si>
  <si>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</si>
  <si>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</si>
  <si>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</si>
  <si>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</si>
  <si>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</si>
  <si>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</si>
  <si>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</si>
  <si>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</si>
  <si>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</si>
  <si>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</si>
  <si>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</si>
  <si>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</si>
  <si>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</si>
  <si>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</si>
  <si>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</si>
  <si>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</si>
  <si>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</si>
  <si>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</si>
  <si>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</si>
  <si>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</si>
  <si>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</si>
  <si>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</si>
  <si>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</si>
  <si>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</si>
  <si>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</si>
  <si>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</si>
  <si>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</si>
  <si>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</si>
  <si>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</si>
  <si>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</si>
  <si>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</si>
  <si>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</si>
  <si>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</si>
  <si>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</si>
  <si>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</si>
  <si>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</si>
  <si>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</si>
  <si>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</si>
  <si>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</si>
  <si>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</si>
  <si>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</si>
  <si>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</si>
  <si>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</si>
  <si>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</si>
  <si>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</si>
  <si>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</si>
  <si>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</si>
  <si>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</si>
  <si>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</si>
  <si>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</si>
  <si>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</si>
  <si>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</si>
  <si>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</si>
  <si>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</si>
  <si>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</si>
  <si>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</si>
  <si>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</si>
  <si>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</si>
  <si>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</si>
  <si>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</si>
  <si>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</si>
  <si>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</si>
  <si>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</si>
  <si>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</si>
  <si>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</si>
  <si>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</si>
  <si>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</si>
  <si>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</si>
  <si>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</si>
  <si>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</si>
  <si>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</si>
  <si>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</si>
  <si>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</si>
  <si>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</si>
  <si>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</si>
  <si>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</si>
  <si>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</si>
  <si>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</si>
  <si>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</si>
  <si>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</si>
  <si>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</si>
  <si>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</si>
  <si>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</si>
  <si>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</si>
  <si>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</si>
  <si>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</si>
  <si>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</si>
  <si>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</si>
  <si>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</si>
  <si>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</si>
  <si>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</si>
  <si>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</si>
  <si>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</si>
  <si>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</si>
  <si>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</si>
  <si>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</si>
  <si>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</si>
  <si>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</si>
  <si>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</si>
  <si>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</si>
  <si>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</si>
  <si>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</si>
  <si>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</si>
  <si>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</si>
  <si>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</si>
  <si>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</si>
  <si>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</si>
  <si>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</si>
  <si>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</si>
  <si>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</si>
  <si>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</si>
  <si>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</si>
  <si>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</si>
  <si>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</si>
  <si>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</si>
  <si>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</si>
  <si>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</si>
  <si>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</si>
  <si>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</si>
  <si>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</si>
  <si>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</si>
  <si>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</si>
  <si>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</si>
  <si>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</si>
  <si>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</si>
  <si>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</si>
  <si>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</si>
  <si>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</si>
  <si>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</si>
  <si>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</si>
  <si>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</si>
  <si>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</si>
  <si>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</si>
  <si>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</si>
  <si>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</si>
  <si>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</si>
  <si>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</si>
  <si>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</si>
  <si>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</si>
  <si>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</si>
  <si>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</si>
  <si>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</si>
  <si>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</si>
  <si>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</si>
  <si>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</si>
  <si>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</si>
  <si>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</si>
  <si>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</si>
  <si>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</si>
  <si>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</si>
  <si>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</si>
  <si>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</si>
  <si>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</si>
  <si>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</si>
  <si>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</si>
  <si>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</si>
  <si>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</si>
  <si>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</si>
  <si>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</si>
  <si>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</si>
  <si>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</si>
  <si>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</si>
  <si>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</si>
  <si>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</si>
  <si>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</si>
  <si>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</si>
  <si>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</si>
  <si>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</si>
  <si>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</si>
  <si>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</si>
  <si>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</si>
  <si>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</si>
  <si>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</si>
  <si>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</si>
  <si>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</si>
  <si>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</si>
  <si>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</si>
  <si>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</si>
  <si>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</si>
  <si>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</si>
  <si>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</si>
  <si>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</si>
  <si>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</si>
  <si>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</si>
  <si>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</si>
  <si>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</si>
  <si>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</si>
  <si>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</si>
  <si>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</si>
  <si>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</si>
  <si>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</si>
  <si>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</si>
  <si>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</si>
  <si>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</si>
  <si>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</si>
  <si>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</si>
  <si>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</si>
  <si>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</si>
  <si>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</si>
  <si>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</si>
  <si>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</si>
  <si>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</si>
  <si>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</si>
  <si>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</si>
  <si>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</si>
  <si>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</si>
  <si>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</si>
  <si>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</si>
  <si>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</si>
  <si>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</si>
  <si>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</si>
  <si>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</si>
  <si>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</si>
  <si>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</si>
  <si>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</si>
  <si>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</si>
  <si>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</si>
  <si>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</si>
  <si>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</si>
  <si>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</si>
  <si>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</si>
  <si>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</si>
  <si>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</si>
  <si>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</si>
  <si>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</si>
  <si>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</si>
  <si>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</si>
  <si>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</si>
  <si>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</si>
  <si>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</si>
  <si>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</si>
  <si>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</si>
  <si>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</si>
  <si>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</si>
  <si>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</si>
  <si>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</si>
  <si>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</si>
  <si>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</si>
  <si>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</si>
  <si>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</si>
  <si>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</si>
  <si>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</si>
  <si>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</si>
  <si>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</si>
  <si>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</si>
  <si>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</si>
  <si>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</si>
  <si>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</si>
  <si>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</si>
  <si>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</si>
  <si>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</si>
  <si>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</si>
  <si>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</si>
  <si>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</si>
  <si>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</si>
  <si>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</si>
  <si>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</si>
  <si>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</si>
  <si>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</si>
  <si>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</si>
  <si>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</si>
  <si>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</si>
  <si>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</si>
  <si>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</si>
  <si>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</si>
  <si>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</si>
  <si>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</si>
  <si>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</si>
  <si>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</si>
  <si>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</si>
  <si>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</si>
  <si>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</si>
  <si>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</si>
  <si>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</si>
  <si>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</si>
  <si>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</si>
  <si>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</si>
  <si>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</si>
  <si>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</si>
  <si>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</si>
  <si>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</si>
  <si>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</si>
  <si>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</si>
  <si>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</si>
  <si>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</si>
  <si>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</si>
  <si>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</si>
  <si>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</si>
  <si>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</si>
  <si>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</si>
  <si>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</si>
  <si>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</si>
  <si>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</si>
  <si>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</si>
  <si>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</si>
  <si>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</si>
  <si>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</si>
  <si>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</si>
  <si>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</si>
  <si>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</si>
  <si>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</si>
  <si>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</si>
  <si>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</si>
  <si>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</si>
  <si>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</si>
  <si>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</si>
  <si>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</si>
  <si>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</si>
  <si>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</si>
  <si>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</si>
  <si>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</si>
  <si>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</si>
  <si>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</si>
  <si>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</si>
  <si>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</si>
  <si>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</si>
  <si>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</si>
  <si>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</si>
  <si>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</si>
  <si>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</si>
  <si>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</si>
  <si>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</si>
  <si>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</si>
  <si>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</si>
  <si>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</si>
  <si>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</si>
  <si>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</si>
  <si>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</si>
  <si>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</si>
  <si>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</si>
  <si>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</si>
  <si>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</si>
  <si>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</si>
  <si>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</si>
  <si>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</si>
  <si>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</si>
  <si>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</si>
  <si>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</si>
  <si>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</si>
  <si>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</si>
  <si>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</si>
  <si>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</si>
  <si>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</si>
  <si>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</si>
  <si>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</si>
  <si>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</si>
  <si>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</si>
  <si>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</si>
  <si>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</si>
  <si>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</si>
  <si>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</si>
  <si>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</si>
  <si>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</si>
  <si>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</si>
  <si>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</si>
  <si>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</si>
  <si>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</si>
  <si>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</si>
  <si>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</si>
  <si>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</si>
  <si>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</si>
  <si>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</si>
  <si>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</si>
  <si>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</si>
  <si>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</si>
  <si>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</si>
  <si>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</si>
  <si>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</si>
  <si>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</si>
  <si>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</si>
  <si>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</si>
  <si>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</si>
  <si>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</si>
  <si>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</si>
  <si>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</si>
  <si>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</si>
  <si>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</si>
  <si>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</si>
  <si>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</si>
  <si>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</si>
  <si>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</si>
  <si>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</si>
  <si>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</si>
  <si>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</si>
  <si>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</si>
  <si>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</si>
  <si>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</si>
  <si>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</si>
  <si>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</si>
  <si>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</si>
  <si>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</si>
  <si>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</si>
  <si>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</si>
  <si>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</si>
  <si>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</si>
  <si>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</si>
  <si>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</si>
  <si>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</si>
  <si>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</si>
  <si>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</si>
  <si>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</si>
  <si>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</si>
  <si>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</si>
  <si>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</si>
  <si>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</si>
  <si>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</si>
  <si>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</si>
  <si>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</si>
  <si>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</si>
  <si>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</si>
  <si>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</si>
  <si>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</si>
  <si>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</si>
  <si>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</si>
  <si>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</si>
  <si>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</si>
  <si>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</si>
  <si>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</si>
  <si>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</si>
  <si>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</si>
  <si>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</si>
  <si>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</si>
  <si>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</si>
  <si>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</si>
  <si>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</si>
  <si>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</si>
  <si>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</si>
  <si>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</si>
  <si>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</si>
  <si>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</si>
  <si>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</si>
  <si>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</si>
  <si>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</si>
  <si>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</si>
  <si>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</si>
  <si>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</si>
  <si>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</si>
  <si>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</si>
  <si>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</si>
  <si>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</si>
  <si>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</si>
  <si>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</si>
  <si>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</si>
  <si>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</si>
  <si>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</si>
  <si>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</si>
  <si>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</si>
  <si>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</si>
  <si>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</si>
  <si>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</si>
  <si>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</si>
  <si>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</si>
  <si>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</si>
  <si>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</si>
  <si>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</si>
  <si>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</si>
  <si>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</si>
  <si>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</si>
  <si>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</si>
  <si>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</si>
  <si>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</si>
  <si>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</si>
  <si>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</si>
  <si>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</si>
  <si>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</si>
  <si>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</si>
  <si>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</si>
  <si>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</si>
  <si>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</si>
  <si>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</si>
  <si>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</si>
  <si>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</si>
  <si>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</si>
  <si>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</si>
  <si>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</si>
  <si>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</si>
  <si>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</si>
  <si>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</si>
  <si>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</si>
  <si>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</si>
  <si>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</si>
  <si>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</si>
  <si>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</si>
  <si>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</si>
  <si>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</si>
  <si>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</si>
  <si>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</si>
  <si>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</si>
  <si>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</si>
  <si>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</si>
  <si>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</si>
  <si>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</si>
  <si>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</si>
  <si>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</si>
  <si>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</si>
  <si>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</si>
  <si>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</si>
  <si>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</si>
  <si>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</si>
  <si>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</si>
  <si>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</si>
  <si>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</si>
  <si>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</si>
  <si>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</si>
  <si>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</si>
  <si>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</si>
  <si>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</si>
  <si>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</si>
  <si>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</si>
  <si>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</si>
  <si>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</si>
  <si>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</si>
  <si>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</si>
  <si>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</si>
  <si>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</si>
  <si>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</si>
  <si>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</si>
  <si>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</si>
  <si>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</si>
  <si>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</si>
  <si>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</si>
  <si>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</si>
  <si>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</si>
  <si>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</si>
  <si>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</si>
  <si>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</si>
  <si>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</si>
  <si>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</si>
  <si>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</si>
  <si>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</si>
  <si>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</si>
  <si>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</si>
  <si>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</si>
  <si>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</si>
  <si>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</si>
  <si>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</si>
  <si>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</si>
  <si>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</si>
  <si>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</si>
  <si>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</si>
  <si>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</si>
  <si>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</si>
  <si>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</si>
  <si>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</si>
  <si>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</si>
  <si>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</si>
  <si>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</si>
  <si>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</si>
  <si>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</si>
  <si>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</si>
  <si>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</si>
  <si>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</si>
  <si>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</si>
  <si>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</si>
  <si>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</si>
  <si>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</si>
  <si>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</si>
  <si>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</si>
  <si>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</si>
  <si>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</si>
  <si>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</si>
  <si>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</si>
  <si>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</si>
  <si>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</si>
  <si>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</si>
  <si>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</si>
  <si>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</si>
  <si>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</si>
  <si>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</si>
  <si>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</si>
  <si>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</si>
  <si>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</si>
  <si>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</si>
  <si>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</si>
  <si>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</si>
  <si>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</si>
  <si>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</si>
  <si>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</si>
  <si>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</si>
  <si>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</si>
  <si>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</si>
  <si>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</si>
  <si>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</si>
  <si>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</si>
  <si>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</si>
  <si>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</si>
  <si>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</si>
  <si>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</si>
  <si>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</si>
  <si>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</si>
  <si>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</si>
  <si>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</si>
  <si>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</si>
  <si>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</si>
  <si>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</si>
  <si>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</si>
  <si>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</si>
  <si>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</si>
  <si>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</si>
  <si>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</si>
  <si>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</si>
  <si>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</si>
  <si>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</si>
  <si>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</si>
  <si>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</si>
  <si>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</si>
  <si>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</si>
  <si>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</si>
  <si>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</si>
  <si>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</si>
  <si>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</si>
  <si>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</si>
  <si>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</si>
  <si>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</si>
  <si>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</si>
  <si>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</si>
  <si>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</si>
  <si>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</si>
  <si>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</si>
  <si>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</si>
  <si>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</si>
  <si>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</si>
  <si>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</si>
  <si>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</si>
  <si>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</si>
  <si>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</si>
  <si>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</si>
  <si>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</si>
  <si>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</si>
  <si>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</si>
  <si>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</si>
  <si>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</si>
  <si>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</si>
  <si>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</si>
  <si>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</si>
  <si>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</si>
  <si>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</si>
  <si>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</si>
  <si>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</si>
  <si>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</si>
  <si>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</si>
  <si>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</si>
  <si>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</si>
  <si>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</si>
  <si>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</si>
  <si>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</si>
  <si>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</si>
  <si>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</si>
  <si>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</si>
  <si>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</si>
  <si>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</si>
  <si>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</si>
  <si>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</si>
  <si>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</si>
  <si>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</si>
  <si>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</si>
  <si>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</si>
  <si>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</si>
  <si>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</si>
  <si>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</si>
  <si>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</si>
  <si>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</si>
  <si>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</si>
  <si>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</si>
  <si>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</si>
  <si>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</si>
  <si>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</si>
  <si>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</si>
  <si>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</si>
  <si>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</si>
  <si>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</si>
  <si>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</si>
  <si>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</si>
  <si>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</si>
  <si>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</si>
  <si>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</si>
  <si>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</si>
  <si>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</si>
  <si>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</si>
  <si>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</si>
  <si>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</si>
  <si>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</si>
  <si>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</si>
  <si>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</si>
  <si>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</si>
  <si>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</si>
  <si>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</si>
  <si>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</si>
  <si>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</si>
  <si>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</si>
  <si>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</si>
  <si>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</si>
  <si>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</si>
  <si>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</si>
  <si>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</si>
  <si>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</si>
  <si>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</si>
  <si>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</si>
  <si>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</si>
  <si>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</si>
  <si>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</si>
  <si>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</si>
  <si>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</si>
  <si>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</si>
  <si>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</si>
  <si>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</si>
  <si>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</si>
  <si>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</si>
  <si>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</si>
  <si>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</si>
  <si>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</si>
  <si>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</si>
  <si>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</si>
  <si>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</si>
  <si>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</si>
  <si>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</si>
  <si>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</si>
  <si>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</si>
  <si>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</si>
  <si>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</si>
  <si>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</si>
  <si>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</si>
  <si>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</si>
  <si>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</si>
  <si>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</si>
  <si>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</si>
  <si>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</si>
  <si>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</si>
  <si>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</si>
  <si>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</si>
  <si>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</si>
  <si>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</si>
  <si>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</si>
  <si>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</si>
  <si>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</si>
  <si>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</si>
  <si>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</si>
  <si>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</si>
  <si>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</si>
  <si>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</si>
  <si>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</si>
  <si>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</si>
  <si>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</si>
  <si>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</si>
  <si>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</si>
  <si>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</si>
  <si>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</si>
  <si>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</si>
  <si>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</si>
  <si>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</si>
  <si>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</si>
  <si>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</si>
  <si>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</si>
  <si>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</si>
  <si>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</si>
  <si>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</si>
  <si>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</si>
  <si>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</si>
  <si>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</si>
  <si>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</si>
  <si>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</si>
  <si>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</si>
  <si>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</si>
  <si>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</si>
  <si>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</si>
  <si>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</si>
  <si>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</si>
  <si>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</si>
  <si>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</si>
  <si>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</si>
  <si>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</si>
  <si>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</si>
  <si>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</si>
  <si>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</si>
  <si>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</si>
  <si>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</si>
  <si>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</si>
  <si>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</si>
  <si>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</si>
  <si>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</si>
  <si>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</si>
  <si>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</si>
  <si>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</si>
  <si>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</si>
  <si>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</si>
  <si>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</si>
  <si>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</si>
  <si>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</si>
  <si>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</si>
  <si>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</si>
  <si>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</si>
  <si>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</si>
  <si>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</si>
  <si>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</si>
  <si>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</si>
  <si>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</si>
  <si>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</si>
  <si>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</si>
  <si>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</si>
  <si>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</si>
  <si>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</si>
  <si>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</si>
  <si>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</si>
  <si>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</si>
  <si>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</si>
  <si>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</si>
  <si>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</si>
  <si>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</si>
  <si>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</si>
  <si>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</si>
  <si>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</si>
  <si>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</si>
  <si>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</si>
  <si>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</si>
  <si>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</si>
  <si>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</si>
  <si>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</si>
  <si>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</si>
  <si>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</si>
  <si>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</si>
  <si>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</si>
  <si>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</si>
  <si>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</si>
  <si>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</si>
  <si>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</si>
  <si>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</si>
  <si>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</si>
  <si>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</si>
  <si>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</si>
  <si>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</si>
  <si>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</si>
  <si>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</si>
  <si>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</si>
  <si>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</si>
  <si>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</si>
  <si>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</si>
  <si>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</si>
  <si>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</si>
  <si>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</si>
  <si>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</si>
  <si>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</si>
  <si>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</si>
  <si>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</si>
  <si>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</si>
  <si>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</si>
  <si>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</si>
  <si>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</si>
  <si>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</si>
  <si>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</si>
  <si>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</si>
  <si>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</si>
  <si>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</si>
  <si>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</si>
  <si>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</si>
  <si>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</si>
  <si>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</si>
  <si>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</si>
  <si>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</si>
  <si>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</si>
  <si>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</si>
  <si>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</si>
  <si>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</si>
  <si>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</si>
  <si>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</si>
  <si>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</si>
  <si>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</si>
  <si>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</si>
  <si>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</si>
  <si>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</si>
  <si>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</si>
  <si>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</si>
  <si>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</si>
  <si>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</si>
  <si>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</si>
  <si>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</si>
  <si>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</si>
  <si>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</si>
  <si>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</si>
  <si>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</si>
  <si>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</si>
  <si>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</si>
  <si>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</si>
  <si>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</si>
  <si>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</si>
  <si>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</si>
  <si>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</si>
  <si>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</si>
  <si>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</si>
  <si>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</si>
  <si>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</si>
  <si>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</si>
  <si>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</si>
  <si>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</si>
  <si>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</si>
  <si>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</si>
  <si>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</si>
  <si>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</si>
  <si>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</si>
  <si>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</si>
  <si>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</si>
  <si>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</si>
  <si>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</si>
  <si>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</si>
  <si>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</si>
  <si>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</si>
  <si>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</si>
  <si>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</si>
  <si>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</si>
  <si>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</si>
  <si>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</si>
  <si>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</si>
  <si>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</si>
  <si>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</si>
  <si>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</si>
  <si>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</si>
  <si>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</si>
  <si>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</si>
  <si>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</si>
  <si>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</si>
  <si>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</si>
  <si>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</si>
  <si>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</si>
  <si>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</si>
  <si>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</si>
  <si>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</si>
  <si>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</si>
  <si>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</si>
  <si>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</si>
  <si>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</si>
  <si>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</si>
  <si>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</si>
  <si>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</si>
  <si>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</si>
  <si>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</si>
  <si>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</si>
  <si>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</si>
  <si>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</si>
  <si>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</si>
  <si>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</si>
  <si>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</si>
  <si>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</si>
  <si>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</si>
  <si>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</si>
  <si>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</si>
  <si>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</si>
  <si>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</si>
  <si>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</si>
  <si>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</si>
  <si>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</si>
  <si>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</si>
  <si>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</si>
  <si>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</si>
  <si>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</si>
  <si>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</si>
  <si>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</si>
  <si>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</si>
  <si>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</si>
  <si>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</si>
  <si>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</si>
  <si>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</si>
  <si>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</si>
  <si>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</si>
  <si>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</si>
  <si>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</si>
  <si>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</si>
  <si>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</si>
  <si>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</si>
  <si>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</si>
  <si>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</si>
  <si>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</si>
  <si>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</si>
  <si>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</si>
  <si>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</si>
  <si>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</si>
  <si>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</si>
  <si>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</si>
  <si>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</si>
  <si>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</si>
  <si>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</si>
  <si>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</si>
  <si>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</si>
  <si>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</si>
  <si>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</si>
  <si>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</si>
  <si>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</si>
  <si>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</si>
  <si>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</si>
  <si>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</si>
  <si>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</si>
  <si>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</si>
  <si>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</si>
  <si>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</si>
  <si>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</si>
  <si>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</si>
  <si>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</si>
  <si>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</si>
  <si>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</si>
  <si>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</si>
  <si>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</si>
  <si>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</si>
  <si>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</si>
  <si>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</si>
  <si>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</si>
  <si>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</si>
  <si>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</si>
  <si>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</si>
  <si>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</si>
  <si>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</si>
  <si>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</si>
  <si>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</si>
  <si>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</si>
  <si>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</si>
  <si>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</si>
  <si>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</si>
  <si>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</si>
  <si>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</si>
  <si>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</si>
  <si>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</si>
  <si>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</si>
  <si>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</si>
  <si>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</si>
  <si>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</si>
  <si>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</si>
  <si>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</si>
  <si>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</si>
  <si>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</si>
  <si>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</si>
  <si>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</si>
  <si>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</si>
  <si>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</si>
  <si>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</si>
  <si>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</si>
  <si>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</si>
  <si>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</si>
  <si>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</si>
  <si>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</si>
  <si>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</si>
  <si>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</si>
  <si>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</si>
  <si>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</si>
  <si>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</si>
  <si>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</si>
  <si>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</si>
  <si>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</si>
  <si>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</si>
  <si>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</si>
  <si>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</si>
  <si>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</si>
  <si>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</si>
  <si>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</si>
  <si>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</si>
  <si>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</si>
  <si>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</si>
  <si>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</si>
  <si>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</si>
  <si>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</si>
  <si>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</si>
  <si>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</si>
  <si>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</si>
  <si>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</si>
  <si>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</si>
  <si>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</si>
  <si>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</si>
  <si>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</si>
  <si>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</si>
  <si>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</si>
  <si>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</si>
  <si>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</si>
  <si>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</si>
  <si>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</si>
  <si>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</si>
  <si>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</si>
  <si>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</si>
  <si>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</si>
  <si>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</si>
  <si>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</si>
  <si>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</si>
  <si>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</si>
  <si>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</si>
  <si>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</si>
  <si>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</si>
  <si>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</si>
  <si>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</si>
  <si>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</si>
  <si>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</si>
  <si>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</si>
  <si>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</si>
  <si>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</si>
  <si>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</si>
  <si>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</si>
  <si>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</si>
  <si>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</si>
  <si>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</si>
  <si>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</si>
  <si>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</si>
  <si>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</si>
  <si>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</si>
  <si>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</si>
  <si>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</si>
  <si>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</si>
  <si>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</si>
  <si>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</si>
  <si>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</si>
  <si>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</si>
  <si>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</si>
  <si>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</si>
  <si>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</si>
  <si>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</si>
  <si>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</si>
  <si>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</si>
  <si>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</si>
  <si>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</si>
  <si>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</si>
  <si>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</si>
  <si>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</si>
  <si>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</si>
  <si>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</si>
  <si>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</si>
  <si>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</si>
  <si>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</si>
  <si>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</si>
  <si>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</si>
  <si>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</si>
  <si>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</si>
  <si>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</si>
  <si>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</si>
  <si>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</si>
  <si>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</si>
  <si>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</si>
  <si>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</si>
  <si>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</si>
  <si>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</si>
  <si>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</si>
  <si>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</si>
  <si>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</si>
  <si>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</si>
  <si>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</si>
  <si>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</si>
  <si>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</si>
  <si>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</si>
  <si>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</si>
  <si>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</si>
  <si>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</si>
  <si>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</si>
  <si>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</si>
  <si>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</si>
  <si>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</si>
  <si>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</si>
  <si>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</si>
  <si>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</si>
  <si>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</si>
  <si>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</si>
  <si>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</si>
  <si>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</si>
  <si>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</si>
  <si>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</si>
  <si>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</si>
  <si>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</si>
  <si>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</si>
  <si>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</si>
  <si>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</si>
  <si>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</si>
  <si>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</si>
  <si>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</si>
  <si>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</si>
  <si>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</si>
  <si>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</si>
  <si>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</si>
  <si>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</si>
  <si>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</si>
  <si>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</si>
  <si>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</si>
  <si>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</si>
  <si>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</si>
  <si>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</si>
  <si>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</si>
  <si>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</si>
  <si>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</si>
  <si>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</si>
  <si>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</si>
  <si>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</si>
  <si>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</si>
  <si>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</si>
  <si>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</si>
  <si>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</si>
  <si>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</si>
  <si>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</si>
  <si>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</si>
  <si>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</si>
  <si>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</si>
  <si>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</si>
  <si>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</si>
  <si>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</si>
  <si>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</si>
  <si>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</si>
  <si>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</si>
  <si>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</si>
  <si>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</si>
  <si>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</si>
  <si>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</si>
  <si>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</si>
  <si>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</si>
  <si>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</si>
  <si>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</si>
  <si>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</si>
  <si>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</si>
  <si>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</si>
  <si>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</si>
  <si>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</si>
  <si>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</si>
  <si>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</si>
  <si>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</si>
  <si>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</si>
  <si>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</si>
  <si>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</si>
  <si>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</si>
  <si>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</si>
  <si>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</si>
  <si>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</si>
  <si>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</si>
  <si>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</si>
  <si>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</si>
  <si>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</si>
  <si>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</si>
  <si>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</si>
  <si>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</si>
  <si>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</si>
  <si>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</si>
  <si>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</si>
  <si>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</si>
  <si>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</si>
  <si>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</si>
  <si>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</si>
  <si>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</si>
  <si>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</si>
  <si>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</si>
  <si>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</si>
  <si>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</si>
  <si>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</si>
  <si>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</si>
  <si>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</si>
  <si>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</si>
  <si>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</si>
  <si>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</si>
  <si>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</si>
  <si>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</si>
  <si>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</si>
  <si>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</si>
  <si>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</si>
  <si>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</si>
  <si>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</si>
  <si>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</si>
  <si>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</si>
  <si>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</si>
  <si>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</si>
  <si>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</si>
  <si>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</si>
  <si>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</si>
  <si>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</si>
  <si>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</si>
  <si>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</si>
  <si>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</si>
  <si>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</si>
  <si>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</si>
  <si>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</si>
  <si>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</si>
  <si>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</si>
  <si>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</si>
  <si>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</si>
  <si>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</si>
  <si>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</si>
  <si>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</si>
  <si>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</si>
  <si>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</si>
  <si>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</si>
  <si>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</si>
  <si>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</si>
  <si>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</si>
  <si>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</si>
  <si>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</si>
  <si>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</si>
  <si>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</si>
  <si>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</si>
  <si>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</si>
  <si>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</si>
  <si>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</si>
  <si>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</si>
  <si>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</si>
  <si>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</si>
  <si>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</si>
  <si>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</si>
  <si>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</si>
  <si>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</si>
  <si>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</si>
  <si>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</si>
  <si>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</si>
  <si>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</si>
  <si>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</si>
  <si>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</si>
  <si>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</si>
  <si>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</si>
  <si>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</si>
  <si>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</si>
  <si>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</si>
  <si>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</si>
  <si>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</si>
  <si>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</si>
  <si>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</si>
  <si>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</si>
  <si>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</si>
  <si>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</si>
  <si>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</si>
  <si>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</si>
  <si>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</si>
  <si>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</si>
  <si>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</si>
  <si>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</si>
  <si>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</si>
  <si>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</si>
  <si>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</si>
  <si>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</si>
  <si>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</si>
  <si>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</si>
  <si>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</si>
  <si>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</si>
  <si>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</si>
  <si>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</si>
  <si>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</si>
  <si>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</si>
  <si>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</si>
  <si>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</si>
  <si>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</si>
  <si>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</si>
  <si>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</si>
  <si>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</si>
  <si>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</si>
  <si>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</si>
  <si>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</si>
  <si>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</si>
  <si>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</si>
  <si>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</si>
  <si>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</si>
  <si>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</si>
  <si>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</si>
  <si>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</si>
  <si>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</si>
  <si>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</si>
  <si>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</si>
  <si>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</si>
  <si>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</si>
  <si>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</si>
  <si>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</si>
  <si>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</si>
  <si>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</si>
  <si>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</si>
  <si>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</si>
  <si>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</si>
  <si>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</si>
  <si>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</si>
  <si>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</si>
  <si>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</si>
  <si>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</si>
  <si>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</si>
  <si>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</si>
  <si>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</si>
  <si>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</si>
  <si>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</si>
  <si>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</si>
  <si>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</si>
  <si>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</si>
  <si>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</si>
  <si>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</si>
  <si>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</si>
  <si>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</si>
  <si>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</si>
  <si>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</si>
  <si>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</si>
  <si>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</si>
  <si>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</si>
  <si>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</si>
  <si>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</si>
  <si>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</si>
  <si>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</si>
  <si>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</si>
  <si>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</si>
  <si>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</si>
  <si>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</si>
  <si>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</si>
  <si>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</si>
  <si>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</si>
  <si>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</si>
  <si>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</si>
  <si>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</si>
  <si>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</si>
  <si>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</si>
  <si>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</si>
  <si>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</si>
  <si>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</si>
  <si>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</si>
  <si>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</si>
  <si>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</si>
  <si>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</si>
  <si>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</si>
  <si>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</si>
  <si>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</si>
  <si>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</si>
  <si>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</si>
  <si>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</si>
  <si>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</si>
  <si>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</si>
  <si>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</si>
  <si>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</si>
  <si>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</si>
  <si>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</si>
  <si>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</si>
  <si>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</si>
  <si>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</si>
  <si>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</si>
  <si>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</si>
  <si>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</si>
  <si>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</si>
  <si>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</si>
  <si>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</si>
  <si>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</si>
  <si>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</si>
  <si>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>Mc1 as 8:50h, faixa após T32 as 10h/ em intervalo as 11:21h</t>
  </si>
  <si>
    <t>MC1  as 09:57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</si>
  <si>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</si>
  <si>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</si>
  <si>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</si>
  <si>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 xml:space="preserve"> </t>
  </si>
  <si>
    <t>Mc1 as 07:21h, licença as 07:54h</t>
  </si>
  <si>
    <t>Deslocamento de TOM para TAG</t>
  </si>
  <si>
    <t>Deslocamento de TAG para TIQ</t>
  </si>
  <si>
    <t>2 (Enio e Daniel)</t>
  </si>
  <si>
    <t>Deslocamento com plataformas de dormentes de TCS para TOM</t>
  </si>
  <si>
    <t>2 (Eder e Anderson)</t>
  </si>
  <si>
    <t>N98</t>
  </si>
  <si>
    <t>Evandro</t>
  </si>
  <si>
    <t>Deslocamento vgs via de ZTP para 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</si>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</sst>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F356" activePane="bottomRight" state="frozen"/>
      <selection pane="bottomRight" activeCell="I360" sqref="I3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ERRO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1865</v>
      </c>
      <c r="BK327" s="16"/>
      <c r="BL327" s="15"/>
      <c r="BM327" s="14"/>
      <c r="BN327" s="14"/>
      <c r="BO327" s="165"/>
      <c r="BP327" s="16"/>
      <c r="BQ327" s="12" t="e">
        <f>IF(AND(BR327&lt;1,BS327&lt;1),"Produção e Intervalo",IF(BR327&lt;1,"Intervalo",IF(BS327&lt;1,"Produção","Aderente")))</f>
        <v>#VALUE!</v>
      </c>
      <c r="BR327" s="18" t="e">
        <f>IF(OR(B327="",F327=""),"*",AY327/P327)</f>
        <v>#VALUE!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1866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1867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1868</v>
      </c>
      <c r="BG329" s="15"/>
      <c r="BH329" s="16">
        <v>1</v>
      </c>
      <c r="BI329" s="16"/>
      <c r="BJ329" s="16" t="s">
        <v>1869</v>
      </c>
      <c r="BK329" s="16" t="s">
        <v>1870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1871</v>
      </c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622</v>
      </c>
      <c r="G337" s="9" t="str">
        <f>IF(D337="","*",VLOOKUP(F337,BS_ATIVIDADE[#All],3,FALSE))</f>
        <v>OUTROS</v>
      </c>
      <c r="H337" s="173" t="s">
        <v>570</v>
      </c>
      <c r="I337" s="173" t="s">
        <v>1263</v>
      </c>
      <c r="J337" s="215">
        <v>74</v>
      </c>
      <c r="K337" s="215">
        <v>404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0.41666666666666669</v>
      </c>
      <c r="P337" s="173">
        <v>4.1666666666666664E-2</v>
      </c>
      <c r="Q337" s="83">
        <v>1020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1872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>
        <v>6236</v>
      </c>
      <c r="AF337" s="83"/>
      <c r="AG337" s="83"/>
      <c r="AH337" s="48"/>
      <c r="AI337" s="142" t="str">
        <f>IF(BS_CONTROLE[[#This Row],[Atividade]]=0, "-", BS_CONTROLE[[#This Row],[Atividade]])</f>
        <v>DESLOCAMENTO</v>
      </c>
      <c r="AJ337" s="9" t="str">
        <f>IF(D337="","*",VLOOKUP(AI337,BS_ATIVIDADE[#Data],3,FALSE))</f>
        <v>OUTROS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TAG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595</v>
      </c>
      <c r="I345" s="173" t="s">
        <v>595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TGR2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1873</v>
      </c>
      <c r="X354" s="216" t="s">
        <v>964</v>
      </c>
      <c r="Y354" s="158"/>
      <c r="Z354" s="158"/>
      <c r="AA354" s="83" t="s">
        <v>1874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570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173">
        <v>8.3333333333333329E-2</v>
      </c>
      <c r="Q355" s="83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1875</v>
      </c>
      <c r="X356" s="216" t="s">
        <v>964</v>
      </c>
      <c r="Y356" s="158"/>
      <c r="Z356" s="158"/>
      <c r="AA356" s="83" t="s">
        <v>1876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N9846020</v>
      </c>
      <c r="B358" s="171">
        <v>46020</v>
      </c>
      <c r="C358" s="8">
        <f>IF(BS_CONTROLE[[#This Row],[DATA]]="","",WEEKNUM(BS_CONTROLE[[#This Row],[DATA]]))</f>
        <v>53</v>
      </c>
      <c r="D358" s="51" t="s">
        <v>1877</v>
      </c>
      <c r="E358" s="310">
        <v>339</v>
      </c>
      <c r="F358" s="172" t="s">
        <v>622</v>
      </c>
      <c r="G358" s="9" t="str">
        <f>IF(D358="","*",VLOOKUP(F358,BS_ATIVIDADE[#All],3,FALSE))</f>
        <v>OUTROS</v>
      </c>
      <c r="H358" s="173" t="s">
        <v>518</v>
      </c>
      <c r="I358" s="173" t="s">
        <v>1771</v>
      </c>
      <c r="J358" s="215">
        <v>78</v>
      </c>
      <c r="K358" s="215">
        <v>334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58" s="173">
        <v>0.375</v>
      </c>
      <c r="P358" s="173">
        <v>4.1666666666666664E-2</v>
      </c>
      <c r="Q358" s="83">
        <v>1</v>
      </c>
      <c r="R358" s="10" t="str">
        <f>IFERROR(_xlfn.XLOOKUP(F358, BS_ATIVIDADE[ATIVIDADE],BS_ATIVIDADE[UNIDADE] ), "*")</f>
        <v>BINÁRIO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ITIRAPINA - BAURU</v>
      </c>
      <c r="V358" s="196" t="s">
        <v>1878</v>
      </c>
      <c r="W358" s="173" t="s">
        <v>1879</v>
      </c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76" t="str">
        <f>IF(BS_CONTROLE[[#This Row],[Local - Partida]]=0, "-", BS_CONTROLE[[#This Row],[Local - Partida]])</f>
        <v>ZTP</v>
      </c>
      <c r="AL358" s="276" t="str">
        <f>IF(BS_CONTROLE[[#This Row],[Local - Encerramento]]=0, "-", BS_CONTROLE[[#This Row],[Local - Encerramento]])</f>
        <v>ZTO</v>
      </c>
      <c r="AM358" s="276" t="str">
        <f>IF(BS_CONTROLE[[#This Row],[Entre - Estações]]=0, "-", BS_CONTROLE[[#This Row],[Entre - Estações]])</f>
        <v>ZAY-ZTP</v>
      </c>
      <c r="AN358" s="276" t="str">
        <f>IF(BS_CONTROLE[[#This Row],[SB]]=0, "-", BS_CONTROLE[[#This Row],[SB]])</f>
        <v>ZAYZTP</v>
      </c>
      <c r="AO358" s="277">
        <f>IF(BS_CONTROLE[[#This Row],[SUB]]=0, "-", BS_CONTROLE[[#This Row],[SUB]])</f>
        <v>78</v>
      </c>
      <c r="AP358" s="278">
        <f>IF(BS_CONTROLE[[#This Row],[KM - Inicio]]=0, "-", BS_CONTROLE[[#This Row],[KM - Inicio]])</f>
        <v>334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BINÁRIO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ITIRAPINA - BAURU</v>
      </c>
      <c r="BF358" s="279" t="str">
        <f>IF(BS_CONTROLE[[#This Row],[Responsavel pelo boletim]]=0, "-", BS_CONTROLE[[#This Row],[Responsavel pelo boletim]])</f>
        <v>Evandro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35" priority="23420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4">
      <formula>$BU6=1</formula>
    </cfRule>
  </conditionalFormatting>
  <conditionalFormatting sqref="BQ235 BQ246:BQ247 BQ6:BQ232 BQ249:BQ251 BQ258:BQ260 BQ267:BQ268 BQ280:BQ599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2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5:X522">
    <cfRule type="cellIs" dxfId="3822" priority="23344" operator="equal">
      <formula>"OPORTUNIDADE"</formula>
    </cfRule>
  </conditionalFormatting>
  <conditionalFormatting sqref="Z475:Z522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5:Z522">
    <cfRule type="cellIs" dxfId="3819" priority="23341" operator="equal">
      <formula>"OPORTUNIDADE"</formula>
    </cfRule>
  </conditionalFormatting>
  <conditionalFormatting sqref="Y1048575:Y1048576">
    <cfRule type="cellIs" dxfId="3818" priority="23226" operator="equal">
      <formula>"OPORTUNIDADE"</formula>
    </cfRule>
  </conditionalFormatting>
  <conditionalFormatting sqref="Y1048575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3:Z548">
    <cfRule type="cellIs" dxfId="3815" priority="22961" operator="equal">
      <formula>"OPORTUNIDADE"</formula>
    </cfRule>
  </conditionalFormatting>
  <conditionalFormatting sqref="Z523:Z548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9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9">
    <cfRule type="cellIs" dxfId="3810" priority="22946" operator="equal">
      <formula>"OPORTUNIDADE"</formula>
    </cfRule>
  </conditionalFormatting>
  <conditionalFormatting sqref="Z549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9">
    <cfRule type="cellIs" dxfId="3807" priority="22943" operator="equal">
      <formula>"OPORTUNIDADE"</formula>
    </cfRule>
  </conditionalFormatting>
  <conditionalFormatting sqref="BI549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3">
      <formula>$BU492=1</formula>
    </cfRule>
  </conditionalFormatting>
  <conditionalFormatting sqref="AZ525:AZ549">
    <cfRule type="expression" dxfId="3805" priority="23723">
      <formula>$BU497=1</formula>
    </cfRule>
  </conditionalFormatting>
  <conditionalFormatting sqref="BI523:BI548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9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1880</v>
      </c>
      <c r="D5" s="386"/>
      <c r="E5" s="386"/>
      <c r="F5" s="386"/>
      <c r="G5" s="386"/>
      <c r="H5" s="386"/>
      <c r="I5" s="386"/>
      <c r="J5" s="387"/>
      <c r="K5" s="388" t="s">
        <v>1881</v>
      </c>
      <c r="L5" s="389"/>
      <c r="M5" s="389"/>
      <c r="N5" s="389"/>
      <c r="O5" s="390" t="s">
        <v>1882</v>
      </c>
      <c r="P5" s="391"/>
      <c r="Q5" s="392"/>
    </row>
    <row r="6" spans="1:17" s="93" customFormat="1" ht="15.75" customHeight="1">
      <c r="A6" s="87" t="s">
        <v>1883</v>
      </c>
      <c r="B6" s="94" t="s">
        <v>1884</v>
      </c>
      <c r="C6" s="95" t="s">
        <v>1171</v>
      </c>
      <c r="D6" s="96" t="s">
        <v>1172</v>
      </c>
      <c r="E6" s="95" t="s">
        <v>1885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1886</v>
      </c>
      <c r="M6" s="139" t="s">
        <v>627</v>
      </c>
      <c r="N6" s="140" t="s">
        <v>1166</v>
      </c>
      <c r="O6" s="244" t="s">
        <v>1209</v>
      </c>
      <c r="P6" s="157"/>
      <c r="Q6" s="192" t="s">
        <v>1887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0.41666666666666669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TGR2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TGR2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1888</v>
      </c>
      <c r="W1" s="398"/>
      <c r="X1" s="398"/>
      <c r="Y1" s="104"/>
    </row>
    <row r="2" spans="1:25" s="100" customFormat="1" ht="11.25" customHeight="1">
      <c r="A2" s="105" t="s">
        <v>1889</v>
      </c>
      <c r="B2" s="105" t="s">
        <v>1884</v>
      </c>
      <c r="C2" s="105" t="s">
        <v>603</v>
      </c>
      <c r="D2" s="106" t="s">
        <v>1171</v>
      </c>
      <c r="E2" s="106" t="s">
        <v>1172</v>
      </c>
      <c r="F2" s="106" t="s">
        <v>1883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1890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DESLOCAMENTO</v>
      </c>
      <c r="I335" s="110" t="str">
        <f>IF(FN_MC!H337="","*",FN_MC!H337)</f>
        <v>TOM2</v>
      </c>
      <c r="J335" s="110" t="str">
        <f>IF(FN_MC!I337="","*",FN_MC!I337)</f>
        <v>TAG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>
        <f>IF(FN_MC!L337="","*",FN_MC!L337)</f>
        <v>485</v>
      </c>
      <c r="P335" s="111"/>
      <c r="Q335" s="128">
        <f>IF(FN_MC!O337="","*",FN_MC!O337)</f>
        <v>0.41666666666666669</v>
      </c>
      <c r="R335" s="128">
        <f>IF(FN_MC!P337="","*",FN_MC!P337)</f>
        <v>4.1666666666666664E-2</v>
      </c>
      <c r="S335" s="110" t="str">
        <f>IF(FN_MC!Q337="","*",CONCATENATE(FN_MC!Q337," ",FN_MC!R337))</f>
        <v>1020 BINÁRIO</v>
      </c>
      <c r="T335" s="110" t="str">
        <f>IF(FN_MC!V337="","*",FN_MC!V337)</f>
        <v>Antonioni</v>
      </c>
      <c r="U335" s="110" t="str">
        <f>IF(FN_MC!W337="","*",FN_MC!W337)</f>
        <v>Deslocamento de TOM para TAG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TGR2</v>
      </c>
      <c r="J343" s="110" t="str">
        <f>IF(FN_MC!I345="","*",FN_MC!I345)</f>
        <v>TGR2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MALHA CENTRAL</v>
      </c>
      <c r="E355" s="110" t="str">
        <f>IF(FN_MC!T358="","*",FN_MC!T358)</f>
        <v>RAMAL</v>
      </c>
      <c r="F355" s="110">
        <f>IF(FN_MC!B358="","*",FN_MC!B358)</f>
        <v>46020</v>
      </c>
      <c r="G355" s="110" t="str">
        <f>IF(FN_MC!D358="","*",FN_MC!D358)</f>
        <v>N98</v>
      </c>
      <c r="H355" s="110" t="str">
        <f>IF(FN_MC!F358="","*",FN_MC!F358)</f>
        <v>DESLOCAMENTO</v>
      </c>
      <c r="I355" s="110" t="str">
        <f>IF(FN_MC!H358="","*",FN_MC!H358)</f>
        <v>ZTP</v>
      </c>
      <c r="J355" s="110" t="str">
        <f>IF(FN_MC!I358="","*",FN_MC!I358)</f>
        <v>ZTO</v>
      </c>
      <c r="K355" s="110" t="str">
        <f>IF(FN_MC!M358="","*",FN_MC!M358)</f>
        <v>ZAY-ZTP</v>
      </c>
      <c r="L355" s="110" t="str">
        <f>IF(FN_MC!N358="","*",FN_MC!N358)</f>
        <v>ZAYZTP</v>
      </c>
      <c r="M355" s="111">
        <f>IF(FN_MC!J358="","*",FN_MC!J358)</f>
        <v>78</v>
      </c>
      <c r="N355" s="288">
        <f>IF(FN_MC!K358="","*",FN_MC!K358)</f>
        <v>334</v>
      </c>
      <c r="O355" s="288" t="str">
        <f>IF(FN_MC!L358="","*",FN_MC!L358)</f>
        <v>-</v>
      </c>
      <c r="P355" s="111"/>
      <c r="Q355" s="128">
        <f>IF(FN_MC!O358="","*",FN_MC!O358)</f>
        <v>0.375</v>
      </c>
      <c r="R355" s="128">
        <f>IF(FN_MC!P358="","*",FN_MC!P358)</f>
        <v>4.1666666666666664E-2</v>
      </c>
      <c r="S355" s="110" t="str">
        <f>IF(FN_MC!Q358="","*",CONCATENATE(FN_MC!Q358," ",FN_MC!R358))</f>
        <v>1 BINÁRIO</v>
      </c>
      <c r="T355" s="110" t="str">
        <f>IF(FN_MC!V358="","*",FN_MC!V358)</f>
        <v>Evandro</v>
      </c>
      <c r="U355" s="110" t="str">
        <f>IF(FN_MC!W358="","*",FN_MC!W358)</f>
        <v>Deslocamento vgs via de ZTP para ZTO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1891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1892</v>
      </c>
      <c r="C2" s="95" t="s">
        <v>1157</v>
      </c>
      <c r="D2" s="95" t="s">
        <v>596</v>
      </c>
      <c r="E2" s="95" t="s">
        <v>1893</v>
      </c>
      <c r="F2" s="95" t="s">
        <v>1894</v>
      </c>
      <c r="G2" s="95" t="s">
        <v>1895</v>
      </c>
      <c r="H2" s="95" t="s">
        <v>1896</v>
      </c>
      <c r="I2" s="95" t="s">
        <v>1897</v>
      </c>
      <c r="J2" s="95" t="s">
        <v>1898</v>
      </c>
      <c r="K2" s="131" t="s">
        <v>1899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TAG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TGR2</v>
      </c>
      <c r="F343" s="137" t="str">
        <f>IF(FN_MC!M345="","*",FN_MC!M345)</f>
        <v>TBR-TGR</v>
      </c>
      <c r="G343" s="121" t="str">
        <f>IF(FN_MC!I345="","*",FN_MC!I345)</f>
        <v>TGR2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N98</v>
      </c>
      <c r="E356" s="121" t="str">
        <f>IF(FN_MC!H358="","*",FN_MC!H358)</f>
        <v>ZTP</v>
      </c>
      <c r="F356" s="137" t="str">
        <f>IF(FN_MC!M358="","*",FN_MC!M358)</f>
        <v>ZAY-ZTP</v>
      </c>
      <c r="G356" s="121" t="str">
        <f>IF(FN_MC!I358="","*",FN_MC!I358)</f>
        <v>ZTO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1900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1901</v>
      </c>
      <c r="C4" s="318" t="s">
        <v>1902</v>
      </c>
      <c r="D4" s="318" t="s">
        <v>1903</v>
      </c>
      <c r="E4" s="318" t="s">
        <v>1904</v>
      </c>
      <c r="F4" s="318" t="s">
        <v>6</v>
      </c>
      <c r="G4" s="318" t="s">
        <v>1905</v>
      </c>
      <c r="H4" s="191"/>
    </row>
    <row r="5" spans="1:8">
      <c r="A5" s="191"/>
      <c r="B5" s="319" t="s">
        <v>1906</v>
      </c>
      <c r="C5" s="319">
        <v>309525</v>
      </c>
      <c r="D5" s="319" t="s">
        <v>1907</v>
      </c>
      <c r="E5" s="319" t="s">
        <v>844</v>
      </c>
      <c r="F5" s="319" t="s">
        <v>1908</v>
      </c>
      <c r="G5" s="320">
        <v>46296</v>
      </c>
      <c r="H5" s="191"/>
    </row>
    <row r="6" spans="1:8">
      <c r="A6" s="191"/>
      <c r="B6" s="319" t="s">
        <v>1909</v>
      </c>
      <c r="C6" s="319">
        <v>256875</v>
      </c>
      <c r="D6" s="319" t="s">
        <v>1910</v>
      </c>
      <c r="E6" s="319" t="s">
        <v>844</v>
      </c>
      <c r="F6" s="319" t="s">
        <v>1908</v>
      </c>
      <c r="G6" s="320">
        <v>46296</v>
      </c>
      <c r="H6" s="191"/>
    </row>
    <row r="7" spans="1:8">
      <c r="A7" s="191"/>
      <c r="B7" s="319" t="s">
        <v>1911</v>
      </c>
      <c r="C7" s="319">
        <v>257278</v>
      </c>
      <c r="D7" s="319" t="s">
        <v>1912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1913</v>
      </c>
      <c r="C8" s="319">
        <v>261794</v>
      </c>
      <c r="D8" s="319" t="s">
        <v>1914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1915</v>
      </c>
      <c r="C9" s="319">
        <v>257033</v>
      </c>
      <c r="D9" s="319" t="s">
        <v>1916</v>
      </c>
      <c r="E9" s="319" t="s">
        <v>835</v>
      </c>
      <c r="F9" s="319" t="s">
        <v>192</v>
      </c>
      <c r="G9" s="319" t="s">
        <v>1917</v>
      </c>
      <c r="H9" s="191"/>
    </row>
    <row r="10" spans="1:8">
      <c r="A10" s="191"/>
      <c r="B10" s="319" t="s">
        <v>1918</v>
      </c>
      <c r="C10" s="319">
        <v>396578</v>
      </c>
      <c r="D10" s="319" t="s">
        <v>1919</v>
      </c>
      <c r="E10" s="319" t="s">
        <v>835</v>
      </c>
      <c r="F10" s="319" t="s">
        <v>192</v>
      </c>
      <c r="G10" s="319" t="s">
        <v>1917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1920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1921</v>
      </c>
      <c r="E3" s="315" t="s">
        <v>1922</v>
      </c>
      <c r="F3" s="315" t="s">
        <v>1923</v>
      </c>
      <c r="G3" s="315" t="s">
        <v>1924</v>
      </c>
      <c r="H3" s="315" t="s">
        <v>1925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2025-12-26T14:43:23Z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