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499" documentId="8_{B6337239-1A00-434D-AAD0-422EA1FEB5AE}" xr6:coauthVersionLast="47" xr6:coauthVersionMax="47" xr10:uidLastSave="{2E3FBD56-EF75-41B2-AEE5-61FF0F2792F1}"/>
  <bookViews>
    <workbookView xWindow="-120" yWindow="-120" windowWidth="20730" windowHeight="11040" firstSheet="2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" i="1" l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N95" i="1" a="1"/>
  <c r="N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6" i="16" s="1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4" i="16" s="1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M96" i="1" a="1"/>
  <c r="M96" i="1" s="1"/>
  <c r="N96" i="1" a="1"/>
  <c r="N96" i="1" s="1"/>
  <c r="L96" i="16" s="1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7" i="16" s="1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J101" i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2" i="1" l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<sst xmlns="http://schemas.openxmlformats.org/spreadsheetml/2006/main" count="4930" uniqueCount="1453">
  <si>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</si>
  <si>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</si>
  <si>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</si>
  <si>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</si>
  <si>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</si>
  <si>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</si>
  <si>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</si>
  <si>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</si>
  <si>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</si>
  <si>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</si>
  <si>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</si>
  <si>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</si>
  <si>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</si>
  <si>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</si>
  <si>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</si>
  <si>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</si>
  <si>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</si>
  <si>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</si>
  <si>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</si>
  <si>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</si>
  <si>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</si>
  <si>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</si>
  <si>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</si>
  <si>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</si>
  <si>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</si>
  <si>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</si>
  <si>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</si>
  <si>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</si>
  <si>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</si>
  <si>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</si>
  <si>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</si>
  <si>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</si>
  <si>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</si>
  <si>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</si>
  <si>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</si>
  <si>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</si>
  <si>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</si>
  <si>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</si>
  <si>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</si>
  <si>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</si>
  <si>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</si>
  <si>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</si>
  <si>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</si>
  <si>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</si>
  <si>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</si>
  <si>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</si>
  <si>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</si>
  <si>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</si>
  <si>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</si>
  <si>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</si>
  <si>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</si>
  <si>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</si>
  <si>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</si>
  <si>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</si>
  <si>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</si>
  <si>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</si>
  <si>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</si>
  <si>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</si>
  <si>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</si>
  <si>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</si>
  <si>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</si>
  <si>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</si>
  <si>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</si>
  <si>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</si>
  <si>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</si>
  <si>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</si>
  <si>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</si>
  <si>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</si>
  <si>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</si>
  <si>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</si>
  <si>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</si>
  <si>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</si>
  <si>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</si>
  <si>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</si>
  <si>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</si>
  <si>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</si>
  <si>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</si>
  <si>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</si>
  <si>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</si>
  <si>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</si>
  <si>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</si>
  <si>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</si>
  <si>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</si>
  <si>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</si>
  <si>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</si>
  <si>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</si>
  <si>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</si>
  <si>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</si>
  <si>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</si>
  <si>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</si>
  <si>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</si>
  <si>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</si>
  <si>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</si>
  <si>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</si>
  <si>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</si>
  <si>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</si>
  <si>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</si>
  <si>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</si>
  <si>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</si>
  <si>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</si>
  <si>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</si>
  <si>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</si>
  <si>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</si>
  <si>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</si>
  <si>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</si>
  <si>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</si>
  <si>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</si>
  <si>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</si>
  <si>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</si>
  <si>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</si>
  <si>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</si>
  <si>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</si>
  <si>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</si>
  <si>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</si>
  <si>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</si>
  <si>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</si>
  <si>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</si>
  <si>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</si>
  <si>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</si>
  <si>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</si>
  <si>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</si>
  <si>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</si>
  <si>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</si>
  <si>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</si>
  <si>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</si>
  <si>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</si>
  <si>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</si>
  <si>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</si>
  <si>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</si>
  <si>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</si>
  <si>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</si>
  <si>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</si>
  <si>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</si>
  <si>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</si>
  <si>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</si>
  <si>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</si>
  <si>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</si>
  <si>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</si>
  <si>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</si>
  <si>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</si>
  <si>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</si>
  <si>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</si>
  <si>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</si>
  <si>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</si>
  <si>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</si>
  <si>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</si>
  <si>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</si>
  <si>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</si>
  <si>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</si>
  <si>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</si>
  <si>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</si>
  <si>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</si>
  <si>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</si>
  <si>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</si>
  <si>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</si>
  <si>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</si>
  <si>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</si>
  <si>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</si>
  <si>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</si>
  <si>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</si>
  <si>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</si>
  <si>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</si>
  <si>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</si>
  <si>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</si>
  <si>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</si>
  <si>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</si>
  <si>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</si>
  <si>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</si>
  <si>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</si>
  <si>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</si>
  <si>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</si>
  <si>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</si>
  <si>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</si>
  <si>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</si>
  <si>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</si>
  <si>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</si>
  <si>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</si>
  <si>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</si>
  <si>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</si>
  <si>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</si>
  <si>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</si>
  <si>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</si>
  <si>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</si>
  <si>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</si>
  <si>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</si>
  <si>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</si>
  <si>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</si>
  <si>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</si>
  <si>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</si>
  <si>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</si>
  <si>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</si>
  <si>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</si>
  <si>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</si>
  <si>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</si>
  <si>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</si>
  <si>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</si>
  <si>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</si>
  <si>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</si>
  <si>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</si>
  <si>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</si>
  <si>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</si>
  <si>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</si>
  <si>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</si>
  <si>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</si>
  <si>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</si>
  <si>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</si>
  <si>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</si>
  <si>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</si>
  <si>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</si>
  <si>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</si>
  <si>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</si>
  <si>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</si>
  <si>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</si>
  <si>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</si>
  <si>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</si>
  <si>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</si>
  <si>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</si>
  <si>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</si>
  <si>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</si>
  <si>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</si>
  <si>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</si>
  <si>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</si>
  <si>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</si>
  <si>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</si>
  <si>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</si>
  <si>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</si>
  <si>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</si>
  <si>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</si>
  <si>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</si>
  <si>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</si>
  <si>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</si>
  <si>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</si>
  <si>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</si>
  <si>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</si>
  <si>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</si>
  <si>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</si>
  <si>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</si>
  <si>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</si>
  <si>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</si>
  <si>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</si>
  <si>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</si>
  <si>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</si>
  <si>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</si>
  <si>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</si>
  <si>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</si>
  <si>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</si>
  <si>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</si>
  <si>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</si>
  <si>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</si>
  <si>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</si>
  <si>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</si>
  <si>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</si>
  <si>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</si>
  <si>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</si>
  <si>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</si>
  <si>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</si>
  <si>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</si>
  <si>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</si>
  <si>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</si>
  <si>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</si>
  <si>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</si>
  <si>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</si>
  <si>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</si>
  <si>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</si>
  <si>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</si>
  <si>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</si>
  <si>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</si>
  <si>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</si>
  <si>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</si>
  <si>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</si>
  <si>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</si>
  <si>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</si>
  <si>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</si>
  <si>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</si>
  <si>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</si>
  <si>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</si>
  <si>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</si>
  <si>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</si>
  <si>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</si>
  <si>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</si>
  <si>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</si>
  <si>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</si>
  <si>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</si>
  <si>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</si>
  <si>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</si>
  <si>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</si>
  <si>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</si>
  <si>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</si>
  <si>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</si>
  <si>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</si>
  <si>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</si>
  <si>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</si>
  <si>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</si>
  <si>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</si>
  <si>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</si>
  <si>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</si>
  <si>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</si>
  <si>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</si>
  <si>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</si>
  <si>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</si>
  <si>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</si>
  <si>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</si>
  <si>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</si>
  <si>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</si>
  <si>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</si>
  <si>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</si>
  <si>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</si>
  <si>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</si>
  <si>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</si>
  <si>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</si>
  <si>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</si>
  <si>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</si>
  <si>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</si>
  <si>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</si>
  <si>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</si>
  <si>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</si>
  <si>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</si>
  <si>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</si>
  <si>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</si>
  <si>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</si>
  <si>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</si>
  <si>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</si>
  <si>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</si>
  <si>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</si>
  <si>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</si>
  <si>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</si>
  <si>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</si>
  <si>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</si>
  <si>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</si>
  <si>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</si>
  <si>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</si>
  <si>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</si>
  <si>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</si>
  <si>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</si>
  <si>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</si>
  <si>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</si>
  <si>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</si>
  <si>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</si>
  <si>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</si>
  <si>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</si>
  <si>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</si>
  <si>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</si>
  <si>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</si>
  <si>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</si>
  <si>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</si>
  <si>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</si>
  <si>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</si>
  <si>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</si>
  <si>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</si>
  <si>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</si>
  <si>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</si>
  <si>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</si>
  <si>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</si>
  <si>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</si>
  <si>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</si>
  <si>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</si>
  <si>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</si>
  <si>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</si>
  <si>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</si>
  <si>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</si>
  <si>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</si>
  <si>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</si>
  <si>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</si>
  <si>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</si>
  <si>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</si>
  <si>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</si>
  <si>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</si>
  <si>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</si>
  <si>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</si>
  <si>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</si>
  <si>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</si>
  <si>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</si>
  <si>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</si>
  <si>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</si>
  <si>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</si>
  <si>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</si>
  <si>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</si>
  <si>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</si>
  <si>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</si>
  <si>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</si>
  <si>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</si>
  <si>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</si>
  <si>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</si>
  <si>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</si>
  <si>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</si>
  <si>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</si>
  <si>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</si>
  <si>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</si>
  <si>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</si>
  <si>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</si>
  <si>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</si>
  <si>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</si>
  <si>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</si>
  <si>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</si>
  <si>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</si>
  <si>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</si>
  <si>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</si>
  <si>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</si>
  <si>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</si>
  <si>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</si>
  <si>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</si>
  <si>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</si>
  <si>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</si>
  <si>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</si>
  <si>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</si>
  <si>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</si>
  <si>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</si>
  <si>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</si>
  <si>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</si>
  <si>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</si>
  <si>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</si>
  <si>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</si>
  <si>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</si>
  <si>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</si>
  <si>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</si>
  <si>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</si>
  <si>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</si>
  <si>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</si>
  <si>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</si>
  <si>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</si>
  <si>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</si>
  <si>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</si>
  <si>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</si>
  <si>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</si>
  <si>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</si>
  <si>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</si>
  <si>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</si>
  <si>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</si>
  <si>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</si>
  <si>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</si>
  <si>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</si>
  <si>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</si>
  <si>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</si>
  <si>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</si>
  <si>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</si>
  <si>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</si>
  <si>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</si>
  <si>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</si>
  <si>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</si>
  <si>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</si>
  <si>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</si>
  <si>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</si>
  <si>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</si>
  <si>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</si>
  <si>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</si>
  <si>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</si>
  <si>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</si>
  <si>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</si>
  <si>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</si>
  <si>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</si>
  <si>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</si>
  <si>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</si>
  <si>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</si>
  <si>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</si>
  <si>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</si>
  <si>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</si>
  <si>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</si>
  <si>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</si>
  <si>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</si>
  <si>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</si>
  <si>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</si>
  <si>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</si>
  <si>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</si>
  <si>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</si>
  <si>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</si>
  <si>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</si>
  <si>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</si>
  <si>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</si>
  <si>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</si>
  <si>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</si>
  <si>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</si>
  <si>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</si>
  <si>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</si>
  <si>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</si>
  <si>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</si>
  <si>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</si>
  <si>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</si>
  <si>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</si>
  <si>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</si>
  <si>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</si>
  <si>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</si>
  <si>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</si>
  <si>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</si>
  <si>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</si>
  <si>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</si>
  <si>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</si>
  <si>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</si>
  <si>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</si>
  <si>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</si>
  <si>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</si>
  <si>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</si>
  <si>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</si>
  <si>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</si>
  <si>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</si>
  <si>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</si>
  <si>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</si>
  <si>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</si>
  <si>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</si>
  <si>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</si>
  <si>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</si>
  <si>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</si>
  <si>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</si>
  <si>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</si>
  <si>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</si>
  <si>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</si>
  <si>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</si>
  <si>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</si>
  <si>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</si>
  <si>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</si>
  <si>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</si>
  <si>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</si>
  <si>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</si>
  <si>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</si>
  <si>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</si>
  <si>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</si>
  <si>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</si>
  <si>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</si>
  <si>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</si>
  <si>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</si>
  <si>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</si>
  <si>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</si>
  <si>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</si>
  <si>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</si>
  <si>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</si>
  <si>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</si>
  <si>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</si>
  <si>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</si>
  <si>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</si>
  <si>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</si>
  <si>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</si>
  <si>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</si>
  <si>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</si>
  <si>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</si>
  <si>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</si>
  <si>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</si>
  <si>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</si>
  <si>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</si>
  <si>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</si>
  <si>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</si>
  <si>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</si>
  <si>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</si>
  <si>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</si>
  <si>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</si>
  <si>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</si>
  <si>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</si>
  <si>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</si>
  <si>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</si>
  <si>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</si>
  <si>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</si>
  <si>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</si>
  <si>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</si>
  <si>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</si>
  <si>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</si>
  <si>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</si>
  <si>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</si>
  <si>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</si>
  <si>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</si>
  <si>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</si>
  <si>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</si>
  <si>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</si>
  <si>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</si>
  <si>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</si>
  <si>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</si>
  <si>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</si>
  <si>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</si>
  <si>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</si>
  <si>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</si>
  <si>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</si>
  <si>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</si>
  <si>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</si>
  <si>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</si>
  <si>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</si>
  <si>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</si>
  <si>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</si>
  <si>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</si>
  <si>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</si>
  <si>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</si>
  <si>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</si>
  <si>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</si>
  <si>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</si>
  <si>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</si>
  <si>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</si>
  <si>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</si>
  <si>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</si>
  <si>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</si>
  <si>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</si>
  <si>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</si>
  <si>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</si>
  <si>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</si>
  <si>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</si>
  <si>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</si>
  <si>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</si>
  <si>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</si>
  <si>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</si>
  <si>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</si>
  <si>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</si>
  <si>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</si>
  <si>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</si>
  <si>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</si>
  <si>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</si>
  <si>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</si>
  <si>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</si>
  <si>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</si>
  <si>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</si>
  <si>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</si>
  <si>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</si>
  <si>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</si>
  <si>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</si>
  <si>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</si>
  <si>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</si>
  <si>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</si>
  <si>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</si>
  <si>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</si>
  <si>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</si>
  <si>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</si>
  <si>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</si>
  <si>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</si>
  <si>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</si>
  <si>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</si>
  <si>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</si>
  <si>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</si>
  <si>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</si>
  <si>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</si>
  <si>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</si>
  <si>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</si>
  <si>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</si>
  <si>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</si>
  <si>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</si>
  <si>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</si>
  <si>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</si>
  <si>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</si>
  <si>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</si>
  <si>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</si>
  <si>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</si>
  <si>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</si>
  <si>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</si>
  <si>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</si>
  <si>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</si>
  <si>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</si>
  <si>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</si>
  <si>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</si>
  <si>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</si>
  <si>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</si>
  <si>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</si>
  <si>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</si>
  <si>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</si>
  <si>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</si>
  <si>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</si>
  <si>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</si>
  <si>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</si>
  <si>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</si>
  <si>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</si>
  <si>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</si>
  <si>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</si>
  <si>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</si>
  <si>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</si>
  <si>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</si>
  <si>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</si>
  <si>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</si>
  <si>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</si>
  <si>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</si>
  <si>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</si>
  <si>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</si>
  <si>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</si>
  <si>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</si>
  <si>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</si>
  <si>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</si>
  <si>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</si>
  <si>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</si>
  <si>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</si>
  <si>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</si>
  <si>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</si>
  <si>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</si>
  <si>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</si>
  <si>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</si>
  <si>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</si>
  <si>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</si>
  <si>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</si>
  <si>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</si>
  <si>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</si>
  <si>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</si>
  <si>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</si>
  <si>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</si>
  <si>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</si>
  <si>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</si>
  <si>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</si>
  <si>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</si>
  <si>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</si>
  <si>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</si>
  <si>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</si>
  <si>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</si>
  <si>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</si>
  <si>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</si>
  <si>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</si>
  <si>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</si>
  <si>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</si>
  <si>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</si>
  <si>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</si>
  <si>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</si>
  <si>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</si>
  <si>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</si>
  <si>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</si>
  <si>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</si>
  <si>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</si>
  <si>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</si>
  <si>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</si>
  <si>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</si>
  <si>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</si>
  <si>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</si>
  <si>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</si>
  <si>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</si>
  <si>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</si>
  <si>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</si>
  <si>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</si>
  <si>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</si>
  <si>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</si>
  <si>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</si>
  <si>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</si>
  <si>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</si>
  <si>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</si>
  <si>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</si>
  <si>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</si>
  <si>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</si>
  <si>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</si>
  <si>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</si>
  <si>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</si>
  <si>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</si>
  <si>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</si>
  <si>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</si>
  <si>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</si>
  <si>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</si>
  <si>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</si>
  <si>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</si>
  <si>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</si>
  <si>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</si>
  <si>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</si>
  <si>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</si>
  <si>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</si>
  <si>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</si>
  <si>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</si>
  <si>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</si>
  <si>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</si>
  <si>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</si>
  <si>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</si>
  <si>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</si>
  <si>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</si>
  <si>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</si>
  <si>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</si>
  <si>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</si>
  <si>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</si>
  <si>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</si>
  <si>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</si>
  <si>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</si>
  <si>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</si>
  <si>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</si>
  <si>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</si>
  <si>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</si>
  <si>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</si>
  <si>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</si>
  <si>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</si>
  <si>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</si>
  <si>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</si>
  <si>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</si>
  <si>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</si>
  <si>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</si>
  <si>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</si>
  <si>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</si>
  <si>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</si>
  <si>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</si>
  <si>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</si>
  <si>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</si>
  <si>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</si>
  <si>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</si>
  <si>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</si>
  <si>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</si>
  <si>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</si>
  <si>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</si>
  <si>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</si>
  <si>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</si>
  <si>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</si>
  <si>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</si>
  <si>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</si>
  <si>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</si>
  <si>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</si>
  <si>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</si>
  <si>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</si>
  <si>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</si>
  <si>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</si>
  <si>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</si>
  <si>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</si>
  <si>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</si>
  <si>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</si>
  <si>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</si>
  <si>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</si>
  <si>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</si>
  <si>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</si>
  <si>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</si>
  <si>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</si>
  <si>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</si>
  <si>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</si>
  <si>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</si>
  <si>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</si>
  <si>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</si>
  <si>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</si>
  <si>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</si>
  <si>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</si>
  <si>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</si>
  <si>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</si>
  <si>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</si>
  <si>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</si>
  <si>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</si>
  <si>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</si>
  <si>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</si>
  <si>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</si>
  <si>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</si>
  <si>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</si>
  <si>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</si>
  <si>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</si>
  <si>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</si>
  <si>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</si>
  <si>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</si>
  <si>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</si>
  <si>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</si>
  <si>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</si>
  <si>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</si>
  <si>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</si>
  <si>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</si>
  <si>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</si>
  <si>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</si>
  <si>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</si>
  <si>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</si>
  <si>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</si>
  <si>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</si>
  <si>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</si>
  <si>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</si>
  <si>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</si>
  <si>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</si>
  <si>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</si>
  <si>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</si>
  <si>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</si>
  <si>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</si>
  <si>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</si>
  <si>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</si>
  <si>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</si>
  <si>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</si>
  <si>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</si>
  <si>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</si>
  <si>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</si>
  <si>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</si>
  <si>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</si>
  <si>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</si>
  <si>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</si>
  <si>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</si>
  <si>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</si>
  <si>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</si>
  <si>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</si>
  <si>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</si>
  <si>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</si>
  <si>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</si>
  <si>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</si>
  <si>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</si>
  <si>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</si>
  <si>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</si>
  <si>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</si>
  <si>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</si>
  <si>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</si>
  <si>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</si>
  <si>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</si>
  <si>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</si>
  <si>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</si>
  <si>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</si>
  <si>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</si>
  <si>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</si>
  <si>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</si>
  <si>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</si>
  <si>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</si>
  <si>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</si>
  <si>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</si>
  <si>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</si>
  <si>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</si>
  <si>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</si>
  <si>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</si>
  <si>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</si>
  <si>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</si>
  <si>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</si>
  <si>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</si>
  <si>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</si>
  <si>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</si>
  <si>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</si>
  <si>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</si>
  <si>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</si>
  <si>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</si>
  <si>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</si>
  <si>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</si>
  <si>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</si>
  <si>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</si>
  <si>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</si>
  <si>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</si>
  <si>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</si>
  <si>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</si>
  <si>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</si>
  <si>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</si>
  <si>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</si>
  <si>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</si>
  <si>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</si>
  <si>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</si>
  <si>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</si>
  <si>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</si>
  <si>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</si>
  <si>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</si>
  <si>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</si>
  <si>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</si>
  <si>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</si>
  <si>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</si>
  <si>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</si>
  <si>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</si>
  <si>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</si>
  <si>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</si>
  <si>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</si>
  <si>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</si>
  <si>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</si>
  <si>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</si>
  <si>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</si>
  <si>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</si>
  <si>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</si>
  <si>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</si>
  <si>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</si>
  <si>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</si>
  <si>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</si>
  <si>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</si>
  <si>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</si>
  <si>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</si>
  <si>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</si>
  <si>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</si>
  <si>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</si>
  <si>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</si>
  <si>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</si>
  <si>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</si>
  <si>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</si>
  <si>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</si>
  <si>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</si>
  <si>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</si>
  <si>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</si>
  <si>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</si>
  <si>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</si>
  <si>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</si>
  <si>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</si>
  <si>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</si>
  <si>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</si>
  <si>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</si>
  <si>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</si>
  <si>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</si>
  <si>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</si>
  <si>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</si>
  <si>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</si>
  <si>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</si>
  <si>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</si>
  <si>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</si>
  <si>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</si>
  <si>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</si>
  <si>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</si>
  <si>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</si>
  <si>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</si>
  <si>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</si>
  <si>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</si>
  <si>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</si>
  <si>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</si>
  <si>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</si>
  <si>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</si>
  <si>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</si>
  <si>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</si>
  <si>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</si>
  <si>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</si>
  <si>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</si>
  <si>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</si>
  <si>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</si>
  <si>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</si>
  <si>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</si>
  <si>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</si>
  <si>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</si>
  <si>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</si>
  <si>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</si>
  <si>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</si>
  <si>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</si>
  <si>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</si>
  <si>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</si>
  <si>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</si>
  <si>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</si>
  <si>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</si>
  <si>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</si>
  <si>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</si>
  <si>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</si>
  <si>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</si>
  <si>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</si>
  <si>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</si>
  <si>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</si>
  <si>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</si>
  <si>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</si>
  <si>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</si>
  <si>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</si>
  <si>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</si>
  <si>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</si>
  <si>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</si>
  <si>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</si>
  <si>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</si>
  <si>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</si>
  <si>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</si>
  <si>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</si>
  <si>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</si>
  <si>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</si>
  <si>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</si>
  <si>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</si>
  <si>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</si>
  <si>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</si>
  <si>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</si>
  <si>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</si>
  <si>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</si>
  <si>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</si>
  <si>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</si>
  <si>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</si>
  <si>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</si>
  <si>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</si>
  <si>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</si>
  <si>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</si>
  <si>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</si>
  <si>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</si>
  <si>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</si>
  <si>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</si>
  <si>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</si>
  <si>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</si>
  <si>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</si>
  <si>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</si>
  <si>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</si>
  <si>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</si>
  <si>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</si>
  <si>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</si>
  <si>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</si>
  <si>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</si>
  <si>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</si>
  <si>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</si>
  <si>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</si>
  <si>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</si>
  <si>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</si>
  <si>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</si>
  <si>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</si>
  <si>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</si>
  <si>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</si>
  <si>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</si>
  <si>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</si>
  <si>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</si>
  <si>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</si>
  <si>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</si>
  <si>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</si>
  <si>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</si>
  <si>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</si>
  <si>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</si>
  <si>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</si>
  <si>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</si>
  <si>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</si>
  <si>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</si>
  <si>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</si>
  <si>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</si>
  <si>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</si>
  <si>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</si>
  <si>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</si>
  <si>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</si>
  <si>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</si>
  <si>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</si>
  <si>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</si>
  <si>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</si>
  <si>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</si>
  <si>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</si>
  <si>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</si>
  <si>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</si>
  <si>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</si>
  <si>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</si>
  <si>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</si>
  <si>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</si>
  <si>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</si>
  <si>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</si>
  <si>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</si>
  <si>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</si>
  <si>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</si>
  <si>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</si>
  <si>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</si>
  <si>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</si>
  <si>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</si>
  <si>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</si>
  <si>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</si>
  <si>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</si>
  <si>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</si>
  <si>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</si>
  <si>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</si>
  <si>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</si>
  <si>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</si>
  <si>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</si>
  <si>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</si>
  <si>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</si>
  <si>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</si>
  <si>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</si>
  <si>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</si>
  <si>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</si>
  <si>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</si>
  <si>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</si>
  <si>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</si>
  <si>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</si>
  <si>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</si>
  <si>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</si>
  <si>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</si>
  <si>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</si>
  <si>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</si>
  <si>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</si>
  <si>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</si>
  <si>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</si>
  <si>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</si>
  <si>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</si>
  <si>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</si>
  <si>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</si>
  <si>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</si>
  <si>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</si>
  <si>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</si>
  <si>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</si>
  <si>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</si>
  <si>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</si>
  <si>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</si>
  <si>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</si>
  <si>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</si>
  <si>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</si>
  <si>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</si>
  <si>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</si>
  <si>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</si>
  <si>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</si>
  <si>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</si>
  <si>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</si>
  <si>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</si>
  <si>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</si>
  <si>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</si>
  <si>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</si>
  <si>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</si>
  <si>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</si>
  <si>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</si>
  <si>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</si>
  <si>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</si>
  <si>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</si>
  <si>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</si>
  <si>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</si>
  <si>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</si>
  <si>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</si>
  <si>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</si>
  <si>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</si>
  <si>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</si>
  <si>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</si>
  <si>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</si>
  <si>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</si>
  <si>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</si>
  <si>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</si>
  <si>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</si>
  <si>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</si>
  <si>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</si>
  <si>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</si>
  <si>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</si>
  <si>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</si>
  <si>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</si>
  <si>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</si>
  <si>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</si>
  <si>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</si>
  <si>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</si>
  <si>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</si>
  <si>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</si>
  <si>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</si>
  <si>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</si>
  <si>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</si>
  <si>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</si>
  <si>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</si>
  <si>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</si>
  <si>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</si>
  <si>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</si>
  <si>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</si>
  <si>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</si>
  <si>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</si>
  <si>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</si>
  <si>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</si>
  <si>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</si>
  <si>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</si>
  <si>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</si>
  <si>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</si>
  <si>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</si>
  <si>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</si>
  <si>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</si>
  <si>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</si>
  <si>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</si>
  <si>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</si>
  <si>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</si>
  <si>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</si>
  <si>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</si>
  <si>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</si>
  <si>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</si>
  <si>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</si>
  <si>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</si>
  <si>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</si>
  <si>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</si>
  <si>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</si>
  <si>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</si>
  <si>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</si>
  <si>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</si>
  <si>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</si>
  <si>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</si>
  <si>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</si>
  <si>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</si>
  <si>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</si>
  <si>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</si>
  <si>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</si>
  <si>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</si>
  <si>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</si>
  <si>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</si>
  <si>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</si>
  <si>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</si>
  <si>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</si>
  <si>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</si>
  <si>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</si>
  <si>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</si>
  <si>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</si>
  <si>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</si>
  <si>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</si>
  <si>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</si>
  <si>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</si>
  <si>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</si>
  <si>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</si>
  <si>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</si>
  <si>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</si>
  <si>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</si>
  <si>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</si>
  <si>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</si>
  <si>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</si>
  <si>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</si>
  <si>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</si>
  <si>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</si>
  <si>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</si>
  <si>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</si>
  <si>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</si>
  <si>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</si>
  <si>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</si>
  <si>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</si>
  <si>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</si>
  <si>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</si>
  <si>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</si>
  <si>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</si>
  <si>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</si>
  <si>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</si>
  <si>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</si>
  <si>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</si>
  <si>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</si>
  <si>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</si>
  <si>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</si>
  <si>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</si>
  <si>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</si>
  <si>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</si>
  <si>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</si>
  <si>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</si>
  <si>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</si>
  <si>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</si>
  <si>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</si>
  <si>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</si>
  <si>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</si>
  <si>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</si>
  <si>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</si>
  <si>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</si>
  <si>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</si>
  <si>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</si>
  <si>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</si>
  <si>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</si>
  <si>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</si>
  <si>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</si>
  <si>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</si>
  <si>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</si>
  <si>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</si>
  <si>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</si>
  <si>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</si>
  <si>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</si>
  <si>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</si>
  <si>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</si>
  <si>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</si>
  <si>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</si>
  <si>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</si>
  <si>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</si>
  <si>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</si>
  <si>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</si>
  <si>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</si>
  <si>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</si>
  <si>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</si>
  <si>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</si>
  <si>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</si>
  <si>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</si>
  <si>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</si>
  <si>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</si>
  <si>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</si>
  <si>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</si>
  <si>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</si>
  <si>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</si>
  <si>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</si>
  <si>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</si>
  <si>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</si>
  <si>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</si>
  <si>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</si>
  <si>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</si>
  <si>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</si>
  <si>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</si>
  <si>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</si>
  <si>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</si>
  <si>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</si>
  <si>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</si>
  <si>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</si>
  <si>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</si>
  <si>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</si>
  <si>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</si>
  <si>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</si>
  <si>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</si>
  <si>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</si>
  <si>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</si>
  <si>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</si>
  <si>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</si>
  <si>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</si>
  <si>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</si>
  <si>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</si>
  <si>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</si>
  <si>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</si>
  <si>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</si>
  <si>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</si>
  <si>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</si>
  <si>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</si>
  <si>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</si>
  <si>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</si>
  <si>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</si>
  <si>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</si>
  <si>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</si>
  <si>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</si>
  <si>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</si>
  <si>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</si>
  <si>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</si>
  <si>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</si>
  <si>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</si>
  <si>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</si>
  <si>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</si>
  <si>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</si>
  <si>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</si>
  <si>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</si>
  <si>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</si>
  <si>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</si>
  <si>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</si>
  <si>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</si>
  <si>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</si>
  <si>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</si>
  <si>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</si>
  <si>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</si>
  <si>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</si>
  <si>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</si>
  <si>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</si>
  <si>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</si>
  <si>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</si>
  <si>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</si>
  <si>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</si>
  <si>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</si>
  <si>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</si>
  <si>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</si>
  <si>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</si>
  <si>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</si>
  <si>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</si>
  <si>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</si>
  <si>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</si>
  <si>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</si>
  <si>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</si>
  <si>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</si>
  <si>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</si>
  <si>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</si>
  <si>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faixa negada cco</t>
  </si>
  <si>
    <t>2 Enio e Daniel</t>
  </si>
  <si>
    <t>Aguardando descanso dos maquinistas as 12h</t>
  </si>
  <si>
    <t>Sem opotunidade de faixa CCO</t>
  </si>
  <si>
    <t>Pronto as 8h - após A60 CCO vai verificar</t>
  </si>
  <si>
    <t xml:space="preserve">Intervalo das 13:42h as 15:12h 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</si>
  <si>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</si>
  <si>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</si>
  <si>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</si>
  <si>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</si>
  <si>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faixa negada cco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</si>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</sst>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X1" activePane="topRight" state="frozen"/>
      <selection pane="topRight" activeCell="AD101" sqref="AD101:AE10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/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/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/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/>
      <c r="BI68" s="14"/>
      <c r="BJ68" s="14" t="s">
        <v>1378</v>
      </c>
      <c r="BK68" s="14" t="s">
        <v>1379</v>
      </c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</v>
      </c>
      <c r="BT68" s="157" t="str">
        <f t="shared" si="2"/>
        <v/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/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1</v>
      </c>
      <c r="BI69" s="14"/>
      <c r="BJ69" s="14" t="s">
        <v>1382</v>
      </c>
      <c r="BK69" s="14" t="s">
        <v>1382</v>
      </c>
      <c r="BL69" s="13"/>
      <c r="BM69" s="12"/>
      <c r="BN69" s="12"/>
      <c r="BO69" s="130"/>
      <c r="BP69" s="14"/>
      <c r="BQ69" s="10" t="str">
        <f>IF(AND(BR69&lt;1,BS69&lt;1),"Produção e Intervalo",IF(BR69&lt;1,"Intervalo",IF(BS69&lt;1,"Produção","Aderente")))</f>
        <v>Produção</v>
      </c>
      <c r="BR69" s="15">
        <f>IF(OR(B69="",F69=""),"*",AY69/P69)</f>
        <v>1.0000000000000004</v>
      </c>
      <c r="BS69" s="15">
        <f>IF(OR(B69="",F69=""),"*",BA69/Q69)</f>
        <v>0</v>
      </c>
      <c r="BT69" s="157" t="str">
        <f t="shared" si="2"/>
        <v/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/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1385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1386</v>
      </c>
      <c r="BK74" s="14" t="s">
        <v>1386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1387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1388</v>
      </c>
      <c r="BK76" s="14" t="s">
        <v>1388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1389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/>
      <c r="AS77" s="32"/>
      <c r="AT77" s="32"/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/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1390</v>
      </c>
      <c r="BK77" s="14" t="s">
        <v>1391</v>
      </c>
      <c r="BL77" s="13"/>
      <c r="BM77" s="12"/>
      <c r="BN77" s="12"/>
      <c r="BO77" s="130"/>
      <c r="BP77" s="14"/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/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1392</v>
      </c>
      <c r="BK78" s="14" t="s">
        <v>1392</v>
      </c>
      <c r="BL78" s="13"/>
      <c r="BM78" s="12"/>
      <c r="BN78" s="12"/>
      <c r="BO78" s="130"/>
      <c r="BP78" s="14"/>
      <c r="BQ78" s="10" t="str">
        <f>IF(AND(BR78&lt;1,BS78&lt;1),"Produção e Intervalo",IF(BR78&lt;1,"Intervalo",IF(BS78&lt;1,"Produção","Aderente")))</f>
        <v>Produção</v>
      </c>
      <c r="BR78" s="15">
        <f>IF(OR(B78="",F78=""),"*",AY78/P78)</f>
        <v>1</v>
      </c>
      <c r="BS78" s="15">
        <f>IF(OR(B78="",F78=""),"*",BA78/Q78)</f>
        <v>0</v>
      </c>
      <c r="BT78" s="157" t="str">
        <f t="shared" si="7"/>
        <v/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1393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1394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1395</v>
      </c>
      <c r="BK79" s="14" t="s">
        <v>1395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1396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0.41666666666666669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7"/>
        <v/>
      </c>
    </row>
    <row r="87" spans="1:72" ht="14.45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10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1397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11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1398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11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1399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11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4.1666666666666664E-2</v>
      </c>
      <c r="Q95" s="71">
        <v>375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>
      <c r="A96" s="44" t="str">
        <f t="shared" ref="A96" si="12">D96&amp;B96</f>
        <v>E1846087</v>
      </c>
      <c r="B96" s="133">
        <v>46087</v>
      </c>
      <c r="C96" s="7">
        <f>IF(BS_CONTROLE[[#This Row],[DATA]]="","",WEEKNUM(BS_CONTROLE[[#This Row],[DATA]]))</f>
        <v>10</v>
      </c>
      <c r="D96" s="45" t="s">
        <v>1279</v>
      </c>
      <c r="E96" s="185">
        <v>90</v>
      </c>
      <c r="F96" s="134" t="s">
        <v>13</v>
      </c>
      <c r="G96" s="8" t="str">
        <f>IF(D96="","*",VLOOKUP(F96,BS_ATIVIDADE[#All],3,FALSE))</f>
        <v>CAMINHÂO - SOLDA</v>
      </c>
      <c r="H96" s="135" t="s">
        <v>647</v>
      </c>
      <c r="I96" s="135" t="s">
        <v>647</v>
      </c>
      <c r="J96" s="151">
        <v>78</v>
      </c>
      <c r="K96" s="151">
        <v>177.376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6" s="135">
        <v>0.35416666666666669</v>
      </c>
      <c r="P96" s="135">
        <v>0.125</v>
      </c>
      <c r="Q96" s="71">
        <v>3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6" s="199" t="str">
        <f>IFERROR(_xlfn.XLOOKUP(J96, BASE_MAPA!$B$2:$B$408, BASE_MAPA!$G$2:$G$408), "ERRO")</f>
        <v>ITIRAPINA - BAURU</v>
      </c>
      <c r="V96" s="143" t="s">
        <v>1367</v>
      </c>
      <c r="W96" s="135" t="s">
        <v>1281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>
        <v>6252</v>
      </c>
      <c r="AF96" s="71"/>
      <c r="AG96" s="71"/>
      <c r="AH96" s="42"/>
      <c r="AI96" s="119" t="str">
        <f>IF(BS_CONTROLE[[#This Row],[Atividade]]=0, "-", BS_CONTROLE[[#This Row],[Atividade]])</f>
        <v>CAMINHÃO DE SOLDA</v>
      </c>
      <c r="AJ96" s="8" t="str">
        <f>IF(D96="","*",VLOOKUP(AI96,BS_ATIVIDADE[#Data],3,FALSE))</f>
        <v>CAMINHÂO - SOLDA</v>
      </c>
      <c r="AK96" s="175" t="str">
        <f>IF(BS_CONTROLE[[#This Row],[Local - Partida]]=0, "-", BS_CONTROLE[[#This Row],[Local - Partida]])</f>
        <v>ZIQZQY</v>
      </c>
      <c r="AL96" s="175" t="str">
        <f>IF(BS_CONTROLE[[#This Row],[Local - Encerramento]]=0, "-", BS_CONTROLE[[#This Row],[Local - Encerramento]])</f>
        <v>ZIQZQY</v>
      </c>
      <c r="AM96" s="175" t="str">
        <f>IF(BS_CONTROLE[[#This Row],[Entre - Estações]]=0, "-", BS_CONTROLE[[#This Row],[Entre - Estações]])</f>
        <v>ZIQ-ZQY</v>
      </c>
      <c r="AN96" s="175" t="str">
        <f>IF(BS_CONTROLE[[#This Row],[SB]]=0, "-", BS_CONTROLE[[#This Row],[SB]])</f>
        <v>ZIQZQY</v>
      </c>
      <c r="AO96" s="176">
        <f>IF(BS_CONTROLE[[#This Row],[SUB]]=0, "-", BS_CONTROLE[[#This Row],[SUB]])</f>
        <v>78</v>
      </c>
      <c r="AP96" s="177">
        <f>IF(BS_CONTROLE[[#This Row],[KM - Inicio]]=0, "-", BS_CONTROLE[[#This Row],[KM - Inicio]])</f>
        <v>177.376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6" s="200" t="str">
        <f>IFERROR(_xlfn.XLOOKUP(AO96, BASE_MAPA!$B$2:$B$408, BASE_MAPA!$G$2:$G$408), "ERRO")</f>
        <v>ITIRAPINA - BAURU</v>
      </c>
      <c r="BF96" s="178" t="str">
        <f>IF(BS_CONTROLE[[#This Row],[Responsavel pelo boletim]]=0, "-", BS_CONTROLE[[#This Row],[Responsavel pelo boletim]])</f>
        <v>Paulo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1400</v>
      </c>
      <c r="W98" s="135" t="s">
        <v>1401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1402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56:BO73 BO75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M6:BM801 BN74:BO74" xr:uid="{0374E4CD-E1C2-4373-A381-0828C9AFF6FF}">
      <formula1>IMPCAUSADOR</formula1>
    </dataValidation>
    <dataValidation type="list" allowBlank="1" showInputMessage="1" showErrorMessage="1" sqref="BN6:BN14 BN16:BN54 BN56:BN73 BN75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1403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1404</v>
      </c>
      <c r="E3" s="186" t="s">
        <v>1405</v>
      </c>
      <c r="F3" s="186" t="s">
        <v>1406</v>
      </c>
      <c r="G3" s="186" t="s">
        <v>1407</v>
      </c>
      <c r="H3" s="186" t="s">
        <v>1408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1409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1410</v>
      </c>
      <c r="D10" s="187">
        <v>9049</v>
      </c>
      <c r="E10" s="188">
        <v>46044</v>
      </c>
      <c r="F10" s="187" t="s">
        <v>1411</v>
      </c>
      <c r="G10" s="187" t="s">
        <v>1412</v>
      </c>
      <c r="H10" s="187"/>
    </row>
    <row r="11" spans="3:8">
      <c r="C11" s="187" t="s">
        <v>1410</v>
      </c>
      <c r="D11" s="187">
        <v>9044</v>
      </c>
      <c r="E11" s="188">
        <v>46044</v>
      </c>
      <c r="F11" s="187" t="s">
        <v>1413</v>
      </c>
      <c r="G11" s="187" t="s">
        <v>1414</v>
      </c>
      <c r="H11" s="187"/>
    </row>
    <row r="12" spans="3:8">
      <c r="C12" s="187" t="s">
        <v>1410</v>
      </c>
      <c r="D12" s="187">
        <v>762</v>
      </c>
      <c r="E12" s="188">
        <v>46044</v>
      </c>
      <c r="F12" s="187" t="s">
        <v>1415</v>
      </c>
      <c r="G12" s="187" t="s">
        <v>1414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1416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1417</v>
      </c>
      <c r="C4" s="191" t="s">
        <v>1418</v>
      </c>
      <c r="D4" s="191" t="s">
        <v>1419</v>
      </c>
      <c r="E4" s="191" t="s">
        <v>1420</v>
      </c>
      <c r="F4" s="191" t="s">
        <v>368</v>
      </c>
      <c r="G4" s="191" t="s">
        <v>1421</v>
      </c>
    </row>
    <row r="5" spans="2:7">
      <c r="B5" s="192" t="s">
        <v>1422</v>
      </c>
      <c r="C5" s="192">
        <v>309525</v>
      </c>
      <c r="D5" s="192" t="s">
        <v>1423</v>
      </c>
      <c r="E5" s="192" t="s">
        <v>249</v>
      </c>
      <c r="F5" s="192" t="s">
        <v>1424</v>
      </c>
      <c r="G5" s="193">
        <v>46296</v>
      </c>
    </row>
    <row r="6" spans="2:7">
      <c r="B6" s="192" t="s">
        <v>1425</v>
      </c>
      <c r="C6" s="192">
        <v>257410</v>
      </c>
      <c r="D6" s="192" t="s">
        <v>1426</v>
      </c>
      <c r="E6" s="192" t="s">
        <v>249</v>
      </c>
      <c r="F6" s="192" t="s">
        <v>1424</v>
      </c>
      <c r="G6" s="193"/>
    </row>
    <row r="7" spans="2:7">
      <c r="B7" s="192" t="s">
        <v>1259</v>
      </c>
      <c r="C7" s="192">
        <v>256875</v>
      </c>
      <c r="D7" s="192" t="s">
        <v>1427</v>
      </c>
      <c r="E7" s="192" t="s">
        <v>249</v>
      </c>
      <c r="F7" s="192" t="s">
        <v>1424</v>
      </c>
      <c r="G7" s="193">
        <v>46296</v>
      </c>
    </row>
    <row r="8" spans="2:7">
      <c r="B8" s="192" t="s">
        <v>1428</v>
      </c>
      <c r="C8" s="192">
        <v>257278</v>
      </c>
      <c r="D8" s="192" t="s">
        <v>1429</v>
      </c>
      <c r="E8" s="192" t="s">
        <v>240</v>
      </c>
      <c r="F8" s="192" t="s">
        <v>1430</v>
      </c>
      <c r="G8" s="193">
        <v>46235</v>
      </c>
    </row>
    <row r="9" spans="2:7">
      <c r="B9" s="192" t="s">
        <v>1431</v>
      </c>
      <c r="C9" s="192">
        <v>257033</v>
      </c>
      <c r="D9" s="192" t="s">
        <v>1432</v>
      </c>
      <c r="E9" s="192" t="s">
        <v>240</v>
      </c>
      <c r="F9" s="192" t="s">
        <v>385</v>
      </c>
      <c r="G9" s="192" t="s">
        <v>1433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1434</v>
      </c>
      <c r="C2" s="83" t="s">
        <v>1160</v>
      </c>
      <c r="D2" s="83" t="s">
        <v>1162</v>
      </c>
      <c r="E2" s="83" t="s">
        <v>1435</v>
      </c>
      <c r="F2" s="83" t="s">
        <v>1436</v>
      </c>
      <c r="G2" s="83" t="s">
        <v>1437</v>
      </c>
      <c r="H2" s="83" t="s">
        <v>1438</v>
      </c>
      <c r="I2" s="83" t="s">
        <v>1439</v>
      </c>
      <c r="J2" s="83" t="s">
        <v>1440</v>
      </c>
      <c r="K2" s="109" t="s">
        <v>1441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-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-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-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E18</v>
      </c>
      <c r="E92" s="101" t="str">
        <f>IF(FN_MC!H96="","*",FN_MC!H96)</f>
        <v>ZIQZQY</v>
      </c>
      <c r="F92" s="114" t="str">
        <f>IF(FN_MC!M96="","*",FN_MC!M96)</f>
        <v>ZIQ-ZQY</v>
      </c>
      <c r="G92" s="101" t="str">
        <f>IF(FN_MC!I96="","*",FN_MC!I96)</f>
        <v>ZIQZQY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A2" workbookViewId="0">
      <selection activeCell="B911" sqref="B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1442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1443</v>
      </c>
      <c r="B2" s="91" t="s">
        <v>1444</v>
      </c>
      <c r="C2" s="91" t="s">
        <v>7</v>
      </c>
      <c r="D2" s="92" t="s">
        <v>1175</v>
      </c>
      <c r="E2" s="92" t="s">
        <v>368</v>
      </c>
      <c r="F2" s="92" t="s">
        <v>1445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1446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0.41666666666666669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*</v>
      </c>
      <c r="C86" s="95" t="str">
        <f>IF(FN_MC!Z86="","*",FN_MC!Z86)</f>
        <v>*</v>
      </c>
      <c r="D86" s="96" t="str">
        <f>IF(FN_MC!S86="","*",FN_MC!S86)</f>
        <v>-</v>
      </c>
      <c r="E86" s="96" t="str">
        <f>IF(FN_MC!T86="","*",FN_MC!T86)</f>
        <v>-</v>
      </c>
      <c r="F86" s="96" t="str">
        <f>IF(FN_MC!B86="","*",FN_MC!B86)</f>
        <v>*</v>
      </c>
      <c r="G86" s="96" t="str">
        <f>IF(FN_MC!D86="","*",FN_MC!D86)</f>
        <v>*</v>
      </c>
      <c r="H86" s="96" t="str">
        <f>IF(FN_MC!F86="","*",FN_MC!F86)</f>
        <v>*</v>
      </c>
      <c r="I86" s="96" t="str">
        <f>IF(FN_MC!H86="","*",FN_MC!H86)</f>
        <v>*</v>
      </c>
      <c r="J86" s="96" t="str">
        <f>IF(FN_MC!I86="","*",FN_MC!I86)</f>
        <v>*</v>
      </c>
      <c r="K86" s="96" t="str">
        <f>IF(FN_MC!M86="","*",FN_MC!M86)</f>
        <v>-</v>
      </c>
      <c r="L86" s="196" t="str">
        <f>IF(FN_MC!N86="","*",FN_MC!N86)</f>
        <v>-</v>
      </c>
      <c r="M86" s="97" t="str">
        <f>IF(FN_MC!J86="","*",FN_MC!J86)</f>
        <v>*</v>
      </c>
      <c r="N86" s="183" t="str">
        <f>IF(FN_MC!K86="","*",FN_MC!K86)</f>
        <v>*</v>
      </c>
      <c r="O86" s="183" t="str">
        <f>IF(FN_MC!L86="","*",FN_MC!L86)</f>
        <v>-</v>
      </c>
      <c r="P86" s="107" t="str">
        <f>IF(FN_MC!O86="","*",FN_MC!O86)</f>
        <v>*</v>
      </c>
      <c r="Q86" s="107" t="str">
        <f>IF(FN_MC!P86="","*",FN_MC!P86)</f>
        <v>*</v>
      </c>
      <c r="R86" s="96" t="str">
        <f>IF(FN_MC!Q86="","*",CONCATENATE(FN_MC!Q86," ",FN_MC!R86))</f>
        <v>*</v>
      </c>
      <c r="S86" s="96" t="str">
        <f>IF(FN_MC!V86="","*",FN_MC!V86)</f>
        <v>*</v>
      </c>
      <c r="T86" s="96" t="str">
        <f>IF(FN_MC!W86="","*",FN_MC!W86)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10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-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-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-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4.1666666666666664E-2</v>
      </c>
      <c r="R95" s="96" t="str">
        <f>IF(FN_MC!Q95="","*",CONCATENATE(FN_MC!Q95," ",FN_MC!R95))</f>
        <v>375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MALHA CENTRAL</v>
      </c>
      <c r="E96" s="96" t="str">
        <f>IF(FN_MC!T96="","*",FN_MC!T96)</f>
        <v>RAMAL</v>
      </c>
      <c r="F96" s="96">
        <f>IF(FN_MC!B96="","*",FN_MC!B96)</f>
        <v>46087</v>
      </c>
      <c r="G96" s="96" t="str">
        <f>IF(FN_MC!D96="","*",FN_MC!D96)</f>
        <v>E18</v>
      </c>
      <c r="H96" s="96" t="str">
        <f>IF(FN_MC!F96="","*",FN_MC!F96)</f>
        <v>CAMINHÃO DE SOLDA</v>
      </c>
      <c r="I96" s="96" t="str">
        <f>IF(FN_MC!H96="","*",FN_MC!H96)</f>
        <v>ZIQZQY</v>
      </c>
      <c r="J96" s="96" t="str">
        <f>IF(FN_MC!I96="","*",FN_MC!I96)</f>
        <v>ZIQZQY</v>
      </c>
      <c r="K96" s="96" t="str">
        <f>IF(FN_MC!M96="","*",FN_MC!M96)</f>
        <v>ZIQ-ZQY</v>
      </c>
      <c r="L96" s="196" t="str">
        <f>IF(FN_MC!N96="","*",FN_MC!N96)</f>
        <v>ZIQZQY</v>
      </c>
      <c r="M96" s="97">
        <f>IF(FN_MC!J96="","*",FN_MC!J96)</f>
        <v>78</v>
      </c>
      <c r="N96" s="183">
        <f>IF(FN_MC!K96="","*",FN_MC!K96)</f>
        <v>177.376</v>
      </c>
      <c r="O96" s="183" t="str">
        <f>IF(FN_MC!L96="","*",FN_MC!L96)</f>
        <v>-</v>
      </c>
      <c r="P96" s="107">
        <f>IF(FN_MC!O96="","*",FN_MC!O96)</f>
        <v>0.35416666666666669</v>
      </c>
      <c r="Q96" s="107">
        <f>IF(FN_MC!P96="","*",FN_MC!P96)</f>
        <v>0.125</v>
      </c>
      <c r="R96" s="96" t="str">
        <f>IF(FN_MC!Q96="","*",CONCATENATE(FN_MC!Q96," ",FN_MC!R96))</f>
        <v>3 Nº DE SOLDA</v>
      </c>
      <c r="S96" s="96" t="str">
        <f>IF(FN_MC!V96="","*",FN_MC!V96)</f>
        <v>Paulo</v>
      </c>
      <c r="T96" s="96" t="str">
        <f>IF(FN_MC!W96="","*",FN_MC!W96)</f>
        <v>Caminhão de solda</v>
      </c>
      <c r="U96" s="98">
        <f ca="1">_xlfn.XLOOKUP(G96&amp;$U$2,BS_CONTROLE[CHAVE],BS_CONTROLE[Quantidade_11],"-")</f>
        <v>4</v>
      </c>
      <c r="V96" s="98">
        <f ca="1">_xlfn.XLOOKUP(G96&amp;$V$2,BS_CONTROLE[CHAVE],BS_CONTROLE[Quantidade_11],"-")</f>
        <v>2</v>
      </c>
      <c r="W96" s="98">
        <f ca="1">_xlfn.XLOOKUP(G96&amp;$W$2,BS_CONTROLE[CHAVE],BS_CONTROLE[Quantidade_11],"-")</f>
        <v>4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*</v>
      </c>
      <c r="C97" s="95" t="str">
        <f>IF(FN_MC!Z97="","*",FN_MC!Z97)</f>
        <v>*</v>
      </c>
      <c r="D97" s="96" t="str">
        <f>IF(FN_MC!S97="","*",FN_MC!S97)</f>
        <v>-</v>
      </c>
      <c r="E97" s="96" t="str">
        <f>IF(FN_MC!T97="","*",FN_MC!T97)</f>
        <v>-</v>
      </c>
      <c r="F97" s="96" t="str">
        <f>IF(FN_MC!B97="","*",FN_MC!B97)</f>
        <v>*</v>
      </c>
      <c r="G97" s="96" t="str">
        <f>IF(FN_MC!D97="","*",FN_MC!D97)</f>
        <v>*</v>
      </c>
      <c r="H97" s="96" t="str">
        <f>IF(FN_MC!F97="","*",FN_MC!F97)</f>
        <v>*</v>
      </c>
      <c r="I97" s="96" t="str">
        <f>IF(FN_MC!H97="","*",FN_MC!H97)</f>
        <v>*</v>
      </c>
      <c r="J97" s="96" t="str">
        <f>IF(FN_MC!I97="","*",FN_MC!I97)</f>
        <v>*</v>
      </c>
      <c r="K97" s="96" t="str">
        <f>IF(FN_MC!M97="","*",FN_MC!M97)</f>
        <v>-</v>
      </c>
      <c r="L97" s="196" t="str">
        <f>IF(FN_MC!N97="","*",FN_MC!N97)</f>
        <v>-</v>
      </c>
      <c r="M97" s="97" t="str">
        <f>IF(FN_MC!J97="","*",FN_MC!J97)</f>
        <v>*</v>
      </c>
      <c r="N97" s="183" t="str">
        <f>IF(FN_MC!K97="","*",FN_MC!K97)</f>
        <v>*</v>
      </c>
      <c r="O97" s="183" t="str">
        <f>IF(FN_MC!L97="","*",FN_MC!L97)</f>
        <v>-</v>
      </c>
      <c r="P97" s="107" t="str">
        <f>IF(FN_MC!O97="","*",FN_MC!O97)</f>
        <v>*</v>
      </c>
      <c r="Q97" s="107" t="str">
        <f>IF(FN_MC!P97="","*",FN_MC!P97)</f>
        <v>*</v>
      </c>
      <c r="R97" s="96" t="str">
        <f>IF(FN_MC!Q97="","*",CONCATENATE(FN_MC!Q97," ",FN_MC!R97))</f>
        <v>*</v>
      </c>
      <c r="S97" s="96" t="str">
        <f>IF(FN_MC!V97="","*",FN_MC!V97)</f>
        <v>*</v>
      </c>
      <c r="T97" s="96" t="str">
        <f>IF(FN_MC!W97="","*",FN_MC!W97)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1447</v>
      </c>
      <c r="D5" s="242"/>
      <c r="E5" s="242"/>
      <c r="F5" s="242"/>
      <c r="G5" s="242"/>
      <c r="H5" s="242"/>
      <c r="I5" s="242"/>
      <c r="J5" s="243"/>
      <c r="K5" s="244" t="s">
        <v>1448</v>
      </c>
      <c r="L5" s="245"/>
      <c r="M5" s="245"/>
      <c r="N5" s="245"/>
      <c r="O5" s="246" t="s">
        <v>1449</v>
      </c>
      <c r="P5" s="247"/>
      <c r="Q5" s="248"/>
    </row>
    <row r="6" spans="1:17" s="81" customFormat="1" ht="15.75" customHeight="1">
      <c r="A6" s="75" t="s">
        <v>1445</v>
      </c>
      <c r="B6" s="82" t="s">
        <v>1444</v>
      </c>
      <c r="C6" s="83" t="s">
        <v>1175</v>
      </c>
      <c r="D6" s="84" t="s">
        <v>1176</v>
      </c>
      <c r="E6" s="83" t="s">
        <v>1450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1451</v>
      </c>
      <c r="M6" s="116" t="s">
        <v>29</v>
      </c>
      <c r="N6" s="117" t="s">
        <v>1170</v>
      </c>
      <c r="O6" s="165" t="s">
        <v>1213</v>
      </c>
      <c r="P6" s="128"/>
      <c r="Q6" s="139" t="s">
        <v>1452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faixa negada cco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0</v>
      </c>
      <c r="P69" s="78"/>
      <c r="Q69" s="120" t="str">
        <f>IF($A$2=1,IF(FN_MC!BJ68="","*",FN_MC!BJ68),IF(FN_MC!BK68="","*",FN_MC!BK68))</f>
        <v xml:space="preserve">Intervalo das 13:42h as 15:12h 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1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faixa negada cco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0.41666666666666669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-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-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-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-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-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-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4.1666666666666664E-2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MALHA CENTRAL</v>
      </c>
      <c r="D96" s="87" t="str">
        <f>IF(FN_MC!T96="","*",FN_MC!T96)</f>
        <v>RAMAL</v>
      </c>
      <c r="E96" s="87" t="str">
        <f>IF(FN_MC!D96="","*",FN_MC!D96)</f>
        <v>E18</v>
      </c>
      <c r="F96" s="87" t="str">
        <f>IF(FN_MC!H96="","*",FN_MC!H96)</f>
        <v>ZIQZQY</v>
      </c>
      <c r="G96" s="87" t="str">
        <f>IF(FN_MC!M96="","*",FN_MC!M96)</f>
        <v>ZIQ-ZQY</v>
      </c>
      <c r="H96" s="125">
        <f>IF(FN_MC!K96="","*",FN_MC!K96)</f>
        <v>177.376</v>
      </c>
      <c r="I96" s="110">
        <f>IF(FN_MC!O96="","*",FN_MC!O96)</f>
        <v>0.35416666666666669</v>
      </c>
      <c r="J96" s="110">
        <f>IF(FN_MC!P96="","*",FN_MC!P96)</f>
        <v>0.125</v>
      </c>
      <c r="K96" s="118" t="str">
        <f>IF(FN_MC!AK96="","*",FN_MC!AK96)</f>
        <v>ZIQZQY</v>
      </c>
      <c r="L96" s="118" t="str">
        <f>IF(FN_MC!AM96="","*",FN_MC!AM96)</f>
        <v>ZIQ-ZQY</v>
      </c>
      <c r="M96" s="118">
        <f>IF(FN_MC!AP96="","*",FN_MC!AP96)</f>
        <v>177.376</v>
      </c>
      <c r="N96" s="118" t="str">
        <f>IF(FN_MC!AM96="","*",FN_MC!AM96)</f>
        <v>ZIQ-ZQY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2026-03-05T17:17:51Z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