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641" documentId="8_{B6337239-1A00-434D-AAD0-422EA1FEB5AE}" xr6:coauthVersionLast="47" xr6:coauthVersionMax="47" xr10:uidLastSave="{4C2F260E-AD42-4137-A52D-AD595E24AEB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6" i="12" s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9" i="12" s="1"/>
  <c r="S298" i="1" a="1"/>
  <c r="S298" i="1" s="1"/>
  <c r="D299" i="12" s="1"/>
  <c r="T298" i="1" a="1"/>
  <c r="T298" i="1" s="1"/>
  <c r="E299" i="12" s="1"/>
  <c r="U298" i="1"/>
  <c r="AI298" i="1"/>
  <c r="BB298" i="1" s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2" i="12" s="1"/>
  <c r="S301" i="1" a="1"/>
  <c r="S301" i="1" s="1"/>
  <c r="D302" i="12" s="1"/>
  <c r="T301" i="1" a="1"/>
  <c r="T301" i="1" s="1"/>
  <c r="E302" i="12" s="1"/>
  <c r="U301" i="1"/>
  <c r="BB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L304" i="12"/>
  <c r="R303" i="1"/>
  <c r="S304" i="12" s="1"/>
  <c r="S303" i="1" a="1"/>
  <c r="S303" i="1" s="1"/>
  <c r="D304" i="12" s="1"/>
  <c r="T303" i="1" a="1"/>
  <c r="T303" i="1" s="1"/>
  <c r="E304" i="12" s="1"/>
  <c r="U303" i="1"/>
  <c r="AI303" i="1"/>
  <c r="BB303" i="1" s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6" i="12" s="1"/>
  <c r="S305" i="1" a="1"/>
  <c r="S305" i="1" s="1"/>
  <c r="D306" i="12" s="1"/>
  <c r="T305" i="1" a="1"/>
  <c r="T305" i="1" s="1"/>
  <c r="E306" i="12" s="1"/>
  <c r="U305" i="1"/>
  <c r="AI305" i="1"/>
  <c r="BB305" i="1" s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10" i="12" s="1"/>
  <c r="S309" i="1" a="1"/>
  <c r="S309" i="1" s="1"/>
  <c r="D310" i="12" s="1"/>
  <c r="T309" i="1" a="1"/>
  <c r="T309" i="1" s="1"/>
  <c r="E310" i="12" s="1"/>
  <c r="U309" i="1"/>
  <c r="AI309" i="1"/>
  <c r="BB309" i="1" s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3" i="12" s="1"/>
  <c r="S312" i="1" a="1"/>
  <c r="S312" i="1" s="1"/>
  <c r="D313" i="12" s="1"/>
  <c r="T312" i="1" a="1"/>
  <c r="T312" i="1" s="1"/>
  <c r="E313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20" i="12" s="1"/>
  <c r="S319" i="1" a="1"/>
  <c r="S319" i="1" s="1"/>
  <c r="D320" i="12" s="1"/>
  <c r="T319" i="1" a="1"/>
  <c r="T319" i="1" s="1"/>
  <c r="E320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D323" i="12"/>
  <c r="E323" i="12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L264" i="12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9" i="12" s="1"/>
  <c r="S288" i="1" a="1"/>
  <c r="S288" i="1" s="1"/>
  <c r="D289" i="12" s="1"/>
  <c r="T288" i="1" a="1"/>
  <c r="T288" i="1" s="1"/>
  <c r="E289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L292" i="12"/>
  <c r="D292" i="12"/>
  <c r="E292" i="12"/>
  <c r="AI291" i="1"/>
  <c r="BB291" i="1" s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12" i="1" l="1"/>
  <c r="AJ309" i="1"/>
  <c r="AJ322" i="1"/>
  <c r="AJ319" i="1"/>
  <c r="AJ288" i="1"/>
  <c r="AJ291" i="1"/>
  <c r="AJ305" i="1"/>
  <c r="AJ303" i="1"/>
  <c r="AJ301" i="1"/>
  <c r="AJ298" i="1"/>
  <c r="AJ286" i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<sst xmlns="http://schemas.openxmlformats.org/spreadsheetml/2006/main" count="6105" uniqueCount="1617">
  <si>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</si>
  <si>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</si>
  <si>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</si>
  <si>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</si>
  <si>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</si>
  <si>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</si>
  <si>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</si>
  <si>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</si>
  <si>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</si>
  <si>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</si>
  <si>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</si>
  <si>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</si>
  <si>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</si>
  <si>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</si>
  <si>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</si>
  <si>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</si>
  <si>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</si>
  <si>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</si>
  <si>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</si>
  <si>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</si>
  <si>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</si>
  <si>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</si>
  <si>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</si>
  <si>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</si>
  <si>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</si>
  <si>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</si>
  <si>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</si>
  <si>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</si>
  <si>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</si>
  <si>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</si>
  <si>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</si>
  <si>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</si>
  <si>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</si>
  <si>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</si>
  <si>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</si>
  <si>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</si>
  <si>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</si>
  <si>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</si>
  <si>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</si>
  <si>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</si>
  <si>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</si>
  <si>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</si>
  <si>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</si>
  <si>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</si>
  <si>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</si>
  <si>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</si>
  <si>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</si>
  <si>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</si>
  <si>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</si>
  <si>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</si>
  <si>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</si>
  <si>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</si>
  <si>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</si>
  <si>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</si>
  <si>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</si>
  <si>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</si>
  <si>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</si>
  <si>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</si>
  <si>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</si>
  <si>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</si>
  <si>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</si>
  <si>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</si>
  <si>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</si>
  <si>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</si>
  <si>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</si>
  <si>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</si>
  <si>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</si>
  <si>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</si>
  <si>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</si>
  <si>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</si>
  <si>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</si>
  <si>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</si>
  <si>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</si>
  <si>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</si>
  <si>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</si>
  <si>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</si>
  <si>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</si>
  <si>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</si>
  <si>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</si>
  <si>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</si>
  <si>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</si>
  <si>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</si>
  <si>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</si>
  <si>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</si>
  <si>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</si>
  <si>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</si>
  <si>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</si>
  <si>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</si>
  <si>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</si>
  <si>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</si>
  <si>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</si>
  <si>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</si>
  <si>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</si>
  <si>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</si>
  <si>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</si>
  <si>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</si>
  <si>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</si>
  <si>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</si>
  <si>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</si>
  <si>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</si>
  <si>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</si>
  <si>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</si>
  <si>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</si>
  <si>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</si>
  <si>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</si>
  <si>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</si>
  <si>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</si>
  <si>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</si>
  <si>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</si>
  <si>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</si>
  <si>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</si>
  <si>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</si>
  <si>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</si>
  <si>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</si>
  <si>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</si>
  <si>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</si>
  <si>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</si>
  <si>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</si>
  <si>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</si>
  <si>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</si>
  <si>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</si>
  <si>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</si>
  <si>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</si>
  <si>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</si>
  <si>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</si>
  <si>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</si>
  <si>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</si>
  <si>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</si>
  <si>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</si>
  <si>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</si>
  <si>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</si>
  <si>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</si>
  <si>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</si>
  <si>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</si>
  <si>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</si>
  <si>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</si>
  <si>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</si>
  <si>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</si>
  <si>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</si>
  <si>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</si>
  <si>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</si>
  <si>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</si>
  <si>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</si>
  <si>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</si>
  <si>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</si>
  <si>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</si>
  <si>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</si>
  <si>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</si>
  <si>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</si>
  <si>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</si>
  <si>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</si>
  <si>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</si>
  <si>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</si>
  <si>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</si>
  <si>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</si>
  <si>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</si>
  <si>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</si>
  <si>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</si>
  <si>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</si>
  <si>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</si>
  <si>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</si>
  <si>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</si>
  <si>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</si>
  <si>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</si>
  <si>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</si>
  <si>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</si>
  <si>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</si>
  <si>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</si>
  <si>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</si>
  <si>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</si>
  <si>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</si>
  <si>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</si>
  <si>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</si>
  <si>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</si>
  <si>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</si>
  <si>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</si>
  <si>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</si>
  <si>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</si>
  <si>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</si>
  <si>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</si>
  <si>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</si>
  <si>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</si>
  <si>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</si>
  <si>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</si>
  <si>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</si>
  <si>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</si>
  <si>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</si>
  <si>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</si>
  <si>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</si>
  <si>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</si>
  <si>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</si>
  <si>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</si>
  <si>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</si>
  <si>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</si>
  <si>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</si>
  <si>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</si>
  <si>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</si>
  <si>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</si>
  <si>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</si>
  <si>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</si>
  <si>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</si>
  <si>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</si>
  <si>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</si>
  <si>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</si>
  <si>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</si>
  <si>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</si>
  <si>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</si>
  <si>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</si>
  <si>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</si>
  <si>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</si>
  <si>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</si>
  <si>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</si>
  <si>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</si>
  <si>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</si>
  <si>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</si>
  <si>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</si>
  <si>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</si>
  <si>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</si>
  <si>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</si>
  <si>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</si>
  <si>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</si>
  <si>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</si>
  <si>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</si>
  <si>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</si>
  <si>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</si>
  <si>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</si>
  <si>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</si>
  <si>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</si>
  <si>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</si>
  <si>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</si>
  <si>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</si>
  <si>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</si>
  <si>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</si>
  <si>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</si>
  <si>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</si>
  <si>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</si>
  <si>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</si>
  <si>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</si>
  <si>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</si>
  <si>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</si>
  <si>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</si>
  <si>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</si>
  <si>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</si>
  <si>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</si>
  <si>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</si>
  <si>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</si>
  <si>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</si>
  <si>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</si>
  <si>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</si>
  <si>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</si>
  <si>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</si>
  <si>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</si>
  <si>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</si>
  <si>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</si>
  <si>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</si>
  <si>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</si>
  <si>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</si>
  <si>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</si>
  <si>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</si>
  <si>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</si>
  <si>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</si>
  <si>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</si>
  <si>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</si>
  <si>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</si>
  <si>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</si>
  <si>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</si>
  <si>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</si>
  <si>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</si>
  <si>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</si>
  <si>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</si>
  <si>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</si>
  <si>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</si>
  <si>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</si>
  <si>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</si>
  <si>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</si>
  <si>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</si>
  <si>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</si>
  <si>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</si>
  <si>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</si>
  <si>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</si>
  <si>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</si>
  <si>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</si>
  <si>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</si>
  <si>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</si>
  <si>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</si>
  <si>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</si>
  <si>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</si>
  <si>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</si>
  <si>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</si>
  <si>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</si>
  <si>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</si>
  <si>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</si>
  <si>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</si>
  <si>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</si>
  <si>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</si>
  <si>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</si>
  <si>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</si>
  <si>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</si>
  <si>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</si>
  <si>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</si>
  <si>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</si>
  <si>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</si>
  <si>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</si>
  <si>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</si>
  <si>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</si>
  <si>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</si>
  <si>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</si>
  <si>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</si>
  <si>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</si>
  <si>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</si>
  <si>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</si>
  <si>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</si>
  <si>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</si>
  <si>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</si>
  <si>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</si>
  <si>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</si>
  <si>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</si>
  <si>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</si>
  <si>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</si>
  <si>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</si>
  <si>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</si>
  <si>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</si>
  <si>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</si>
  <si>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</si>
  <si>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</si>
  <si>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</si>
  <si>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</si>
  <si>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</si>
  <si>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</si>
  <si>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</si>
  <si>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</si>
  <si>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</si>
  <si>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</si>
  <si>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</si>
  <si>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</si>
  <si>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</si>
  <si>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</si>
  <si>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</si>
  <si>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</si>
  <si>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</si>
  <si>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</si>
  <si>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</si>
  <si>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</si>
  <si>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</si>
  <si>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</si>
  <si>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</si>
  <si>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</si>
  <si>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</si>
  <si>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</si>
  <si>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</si>
  <si>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</si>
  <si>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</si>
  <si>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</si>
  <si>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</si>
  <si>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</si>
  <si>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</si>
  <si>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</si>
  <si>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</si>
  <si>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</si>
  <si>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</si>
  <si>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</si>
  <si>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</si>
  <si>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</si>
  <si>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</si>
  <si>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</si>
  <si>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</si>
  <si>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</si>
  <si>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</si>
  <si>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</si>
  <si>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</si>
  <si>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</si>
  <si>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</si>
  <si>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</si>
  <si>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</si>
  <si>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</si>
  <si>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</si>
  <si>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</si>
  <si>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</si>
  <si>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</si>
  <si>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</si>
  <si>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</si>
  <si>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</si>
  <si>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</si>
  <si>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</si>
  <si>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</si>
  <si>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</si>
  <si>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</si>
  <si>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</si>
  <si>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</si>
  <si>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</si>
  <si>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</si>
  <si>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</si>
  <si>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</si>
  <si>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</si>
  <si>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</si>
  <si>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</si>
  <si>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</si>
  <si>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</si>
  <si>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</si>
  <si>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</si>
  <si>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</si>
  <si>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</si>
  <si>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</si>
  <si>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</si>
  <si>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</si>
  <si>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</si>
  <si>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</si>
  <si>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</si>
  <si>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</si>
  <si>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</si>
  <si>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</si>
  <si>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</si>
  <si>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</si>
  <si>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</si>
  <si>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</si>
  <si>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</si>
  <si>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</si>
  <si>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</si>
  <si>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</si>
  <si>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</si>
  <si>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</si>
  <si>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</si>
  <si>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</si>
  <si>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</si>
  <si>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</si>
  <si>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</si>
  <si>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</si>
  <si>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</si>
  <si>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</si>
  <si>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</si>
  <si>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</si>
  <si>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</si>
  <si>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</si>
  <si>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</si>
  <si>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</si>
  <si>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</si>
  <si>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</si>
  <si>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</si>
  <si>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</si>
  <si>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</si>
  <si>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</si>
  <si>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</si>
  <si>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</si>
  <si>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</si>
  <si>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</si>
  <si>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</si>
  <si>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</si>
  <si>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</si>
  <si>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</si>
  <si>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</si>
  <si>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</si>
  <si>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</si>
  <si>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</si>
  <si>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</si>
  <si>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</si>
  <si>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</si>
  <si>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</si>
  <si>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</si>
  <si>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</si>
  <si>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</si>
  <si>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</si>
  <si>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</si>
  <si>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</si>
  <si>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</si>
  <si>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</si>
  <si>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</si>
  <si>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</si>
  <si>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</si>
  <si>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</si>
  <si>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</si>
  <si>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</si>
  <si>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</si>
  <si>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</si>
  <si>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</si>
  <si>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</si>
  <si>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</si>
  <si>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</si>
  <si>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</si>
  <si>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</si>
  <si>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</si>
  <si>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</si>
  <si>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</si>
  <si>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</si>
  <si>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</si>
  <si>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</si>
  <si>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</si>
  <si>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</si>
  <si>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</si>
  <si>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</si>
  <si>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</si>
  <si>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</si>
  <si>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</si>
  <si>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</si>
  <si>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</si>
  <si>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</si>
  <si>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</si>
  <si>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</si>
  <si>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</si>
  <si>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</si>
  <si>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</si>
  <si>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</si>
  <si>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</si>
  <si>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</si>
  <si>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</si>
  <si>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</si>
  <si>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</si>
  <si>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</si>
  <si>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</si>
  <si>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</si>
  <si>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</si>
  <si>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</si>
  <si>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</si>
  <si>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</si>
  <si>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</si>
  <si>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</si>
  <si>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</si>
  <si>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</si>
  <si>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</si>
  <si>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</si>
  <si>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</si>
  <si>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</si>
  <si>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</si>
  <si>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</si>
  <si>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</si>
  <si>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</si>
  <si>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</si>
  <si>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</si>
  <si>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</si>
  <si>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</si>
  <si>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</si>
  <si>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</si>
  <si>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</si>
  <si>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</si>
  <si>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</si>
  <si>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</si>
  <si>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</si>
  <si>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</si>
  <si>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</si>
  <si>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</si>
  <si>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</si>
  <si>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</si>
  <si>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</si>
  <si>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</si>
  <si>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</si>
  <si>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</si>
  <si>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</si>
  <si>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</si>
  <si>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</si>
  <si>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</si>
  <si>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</si>
  <si>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</si>
  <si>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</si>
  <si>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</si>
  <si>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</si>
  <si>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</si>
  <si>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</si>
  <si>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</si>
  <si>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</si>
  <si>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</si>
  <si>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</si>
  <si>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</si>
  <si>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</si>
  <si>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</si>
  <si>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</si>
  <si>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</si>
  <si>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</si>
  <si>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</si>
  <si>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</si>
  <si>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</si>
  <si>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</si>
  <si>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</si>
  <si>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</si>
  <si>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</si>
  <si>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</si>
  <si>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</si>
  <si>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</si>
  <si>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</si>
  <si>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</si>
  <si>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</si>
  <si>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</si>
  <si>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</si>
  <si>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</si>
  <si>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</si>
  <si>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</si>
  <si>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</si>
  <si>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</si>
  <si>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</si>
  <si>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</si>
  <si>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</si>
  <si>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</si>
  <si>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</si>
  <si>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</si>
  <si>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</si>
  <si>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</si>
  <si>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</si>
  <si>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</si>
  <si>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</si>
  <si>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</si>
  <si>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</si>
  <si>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</si>
  <si>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</si>
  <si>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</si>
  <si>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</si>
  <si>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</si>
  <si>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</si>
  <si>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</si>
  <si>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</si>
  <si>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</si>
  <si>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</si>
  <si>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</si>
  <si>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</si>
  <si>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</si>
  <si>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</si>
  <si>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</si>
  <si>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</si>
  <si>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</si>
  <si>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</si>
  <si>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</si>
  <si>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</si>
  <si>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</si>
  <si>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</si>
  <si>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</si>
  <si>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</si>
  <si>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</si>
  <si>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</si>
  <si>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</si>
  <si>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</si>
  <si>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</si>
  <si>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</si>
  <si>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</si>
  <si>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</si>
  <si>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</si>
  <si>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</si>
  <si>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</si>
  <si>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</si>
  <si>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</si>
  <si>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</si>
  <si>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</si>
  <si>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</si>
  <si>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</si>
  <si>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</si>
  <si>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</si>
  <si>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</si>
  <si>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</si>
  <si>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</si>
  <si>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</si>
  <si>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</si>
  <si>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</si>
  <si>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</si>
  <si>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</si>
  <si>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</si>
  <si>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</si>
  <si>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</si>
  <si>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</si>
  <si>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</si>
  <si>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</si>
  <si>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</si>
  <si>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</si>
  <si>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</si>
  <si>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</si>
  <si>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</si>
  <si>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</si>
  <si>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</si>
  <si>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</si>
  <si>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</si>
  <si>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</si>
  <si>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</si>
  <si>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</si>
  <si>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</si>
  <si>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</si>
  <si>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</si>
  <si>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</si>
  <si>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</si>
  <si>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</si>
  <si>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</si>
  <si>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</si>
  <si>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</si>
  <si>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</si>
  <si>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</si>
  <si>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</si>
  <si>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</si>
  <si>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</si>
  <si>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</si>
  <si>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</si>
  <si>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</si>
  <si>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</si>
  <si>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</si>
  <si>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</si>
  <si>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</si>
  <si>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</si>
  <si>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</si>
  <si>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</si>
  <si>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</si>
  <si>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</si>
  <si>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</si>
  <si>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</si>
  <si>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</si>
  <si>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</si>
  <si>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</si>
  <si>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</si>
  <si>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</si>
  <si>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</si>
  <si>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</si>
  <si>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</si>
  <si>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</si>
  <si>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</si>
  <si>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</si>
  <si>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</si>
  <si>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</si>
  <si>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</si>
  <si>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</si>
  <si>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</si>
  <si>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</si>
  <si>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</si>
  <si>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</si>
  <si>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</si>
  <si>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</si>
  <si>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</si>
  <si>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</si>
  <si>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</si>
  <si>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</si>
  <si>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</si>
  <si>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</si>
  <si>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</si>
  <si>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</si>
  <si>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</si>
  <si>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</si>
  <si>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</si>
  <si>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</si>
  <si>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</si>
  <si>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</si>
  <si>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</si>
  <si>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</si>
  <si>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</si>
  <si>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</si>
  <si>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</si>
  <si>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</si>
  <si>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</si>
  <si>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</si>
  <si>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</si>
  <si>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</si>
  <si>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</si>
  <si>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</si>
  <si>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</si>
  <si>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</si>
  <si>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</si>
  <si>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</si>
  <si>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</si>
  <si>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</si>
  <si>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</si>
  <si>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</si>
  <si>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</si>
  <si>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</si>
  <si>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</si>
  <si>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</si>
  <si>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</si>
  <si>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</si>
  <si>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</si>
  <si>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</si>
  <si>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</si>
  <si>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</si>
  <si>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</si>
  <si>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</si>
  <si>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</si>
  <si>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</si>
  <si>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</si>
  <si>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</si>
  <si>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</si>
  <si>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</si>
  <si>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</si>
  <si>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</si>
  <si>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</si>
  <si>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</si>
  <si>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</si>
  <si>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</si>
  <si>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</si>
  <si>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</si>
  <si>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</si>
  <si>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</si>
  <si>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</si>
  <si>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</si>
  <si>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</si>
  <si>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</si>
  <si>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</si>
  <si>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</si>
  <si>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</si>
  <si>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</si>
  <si>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</si>
  <si>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</si>
  <si>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</si>
  <si>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</si>
  <si>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</si>
  <si>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</si>
  <si>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</si>
  <si>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</si>
  <si>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</si>
  <si>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</si>
  <si>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</si>
  <si>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</si>
  <si>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</si>
  <si>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</si>
  <si>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</si>
  <si>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</si>
  <si>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</si>
  <si>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</si>
  <si>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</si>
  <si>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</si>
  <si>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</si>
  <si>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</si>
  <si>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</si>
  <si>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</si>
  <si>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</si>
  <si>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</si>
  <si>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</si>
  <si>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</si>
  <si>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</si>
  <si>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</si>
  <si>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</si>
  <si>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</si>
  <si>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</si>
  <si>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</si>
  <si>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</si>
  <si>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</si>
  <si>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</si>
  <si>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</si>
  <si>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</si>
  <si>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</si>
  <si>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</si>
  <si>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</si>
  <si>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</si>
  <si>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</si>
  <si>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</si>
  <si>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</si>
  <si>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</si>
  <si>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</si>
  <si>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</si>
  <si>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</si>
  <si>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</si>
  <si>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</si>
  <si>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</si>
  <si>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</si>
  <si>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</si>
  <si>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</si>
  <si>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</si>
  <si>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</si>
  <si>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</si>
  <si>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</si>
  <si>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</si>
  <si>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</si>
  <si>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</si>
  <si>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</si>
  <si>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</si>
  <si>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</si>
  <si>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</si>
  <si>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</si>
  <si>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</si>
  <si>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</si>
  <si>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</si>
  <si>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</si>
  <si>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</si>
  <si>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</si>
  <si>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</si>
  <si>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</si>
  <si>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</si>
  <si>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</si>
  <si>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</si>
  <si>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</si>
  <si>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</si>
  <si>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</si>
  <si>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</si>
  <si>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</si>
  <si>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</si>
  <si>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</si>
  <si>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</si>
  <si>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</si>
  <si>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</si>
  <si>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</si>
  <si>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</si>
  <si>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</si>
  <si>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</si>
  <si>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</si>
  <si>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</si>
  <si>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</si>
  <si>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</si>
  <si>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</si>
  <si>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</si>
  <si>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</si>
  <si>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</si>
  <si>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</si>
  <si>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</si>
  <si>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</si>
  <si>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</si>
  <si>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</si>
  <si>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</si>
  <si>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</si>
  <si>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</si>
  <si>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</si>
  <si>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</si>
  <si>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</si>
  <si>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</si>
  <si>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</si>
  <si>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</si>
  <si>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</si>
  <si>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</si>
  <si>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</si>
  <si>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</si>
  <si>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</si>
  <si>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</si>
  <si>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</si>
  <si>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</si>
  <si>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</si>
  <si>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</si>
  <si>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</si>
  <si>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</si>
  <si>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</si>
  <si>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</si>
  <si>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</si>
  <si>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</si>
  <si>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</si>
  <si>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</si>
  <si>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</si>
  <si>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</si>
  <si>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</si>
  <si>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</si>
  <si>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</si>
  <si>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</si>
  <si>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</si>
  <si>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</si>
  <si>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</si>
  <si>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</si>
  <si>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</si>
  <si>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</si>
  <si>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</si>
  <si>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</si>
  <si>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</si>
  <si>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</si>
  <si>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</si>
  <si>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</si>
  <si>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</si>
  <si>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</si>
  <si>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</si>
  <si>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</si>
  <si>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</si>
  <si>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</si>
  <si>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</si>
  <si>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</si>
  <si>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</si>
  <si>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</si>
  <si>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</si>
  <si>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</si>
  <si>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</si>
  <si>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</si>
  <si>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</si>
  <si>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</si>
  <si>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</si>
  <si>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</si>
  <si>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</si>
  <si>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</si>
  <si>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</si>
  <si>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</si>
  <si>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</si>
  <si>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</si>
  <si>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</si>
  <si>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</si>
  <si>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</si>
  <si>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</si>
  <si>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</si>
  <si>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</si>
  <si>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</si>
  <si>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</si>
  <si>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</si>
  <si>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</si>
  <si>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</si>
  <si>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</si>
  <si>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</si>
  <si>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</si>
  <si>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</si>
  <si>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</si>
  <si>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</si>
  <si>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</si>
  <si>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</si>
  <si>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</si>
  <si>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</si>
  <si>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</si>
  <si>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</si>
  <si>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</si>
  <si>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</si>
  <si>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</si>
  <si>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</si>
  <si>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</si>
  <si>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</si>
  <si>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</si>
  <si>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</si>
  <si>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</si>
  <si>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</si>
  <si>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</si>
  <si>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</si>
  <si>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</si>
  <si>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</si>
  <si>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</si>
  <si>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</si>
  <si>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</si>
  <si>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</si>
  <si>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</si>
  <si>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</si>
  <si>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</si>
  <si>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</si>
  <si>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</si>
  <si>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</si>
  <si>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</si>
  <si>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</si>
  <si>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</si>
  <si>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</si>
  <si>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</si>
  <si>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</si>
  <si>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</si>
  <si>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</si>
  <si>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</si>
  <si>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</si>
  <si>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</si>
  <si>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</si>
  <si>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</si>
  <si>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</si>
  <si>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</si>
  <si>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</si>
  <si>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</si>
  <si>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</si>
  <si>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</si>
  <si>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</si>
  <si>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</si>
  <si>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</si>
  <si>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</si>
  <si>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</si>
  <si>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</si>
  <si>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</si>
  <si>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</si>
  <si>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</si>
  <si>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</si>
  <si>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</si>
  <si>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</si>
  <si>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</si>
  <si>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</si>
  <si>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</si>
  <si>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</si>
  <si>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</si>
  <si>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</si>
  <si>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</si>
  <si>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</si>
  <si>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</si>
  <si>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</si>
  <si>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</si>
  <si>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</si>
  <si>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</si>
  <si>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</si>
  <si>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</si>
  <si>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</si>
  <si>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</si>
  <si>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</si>
  <si>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</si>
  <si>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</si>
  <si>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</si>
  <si>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</si>
  <si>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</si>
  <si>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</si>
  <si>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</si>
  <si>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</si>
  <si>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</si>
  <si>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</si>
  <si>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</si>
  <si>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</si>
  <si>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</si>
  <si>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</si>
  <si>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</si>
  <si>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</si>
  <si>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</si>
  <si>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</si>
  <si>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</si>
  <si>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</si>
  <si>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</si>
  <si>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</si>
  <si>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</si>
  <si>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</si>
  <si>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</si>
  <si>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</si>
  <si>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</si>
  <si>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</si>
  <si>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</si>
  <si>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</si>
  <si>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</si>
  <si>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</si>
  <si>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</si>
  <si>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</si>
  <si>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</si>
  <si>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</si>
  <si>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</si>
  <si>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</si>
  <si>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</si>
  <si>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</si>
  <si>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</si>
  <si>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</si>
  <si>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</si>
  <si>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</si>
  <si>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</si>
  <si>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</si>
  <si>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</si>
  <si>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</si>
  <si>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</si>
  <si>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</si>
  <si>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</si>
  <si>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</si>
  <si>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</si>
  <si>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</si>
  <si>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</si>
  <si>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</si>
  <si>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</si>
  <si>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</si>
  <si>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</si>
  <si>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</si>
  <si>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</si>
  <si>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</si>
  <si>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</si>
  <si>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</si>
  <si>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</si>
  <si>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</si>
  <si>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</si>
  <si>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</si>
  <si>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</si>
  <si>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</si>
  <si>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</si>
  <si>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</si>
  <si>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</si>
  <si>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</si>
  <si>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</si>
  <si>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</si>
  <si>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</si>
  <si>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</si>
  <si>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</si>
  <si>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</si>
  <si>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</si>
  <si>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</si>
  <si>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</si>
  <si>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</si>
  <si>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</si>
  <si>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</si>
  <si>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</si>
  <si>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</si>
  <si>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</si>
  <si>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</si>
  <si>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</si>
  <si>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</si>
  <si>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</si>
  <si>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</si>
  <si>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</si>
  <si>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</si>
  <si>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</si>
  <si>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</si>
  <si>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</si>
  <si>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</si>
  <si>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</si>
  <si>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</si>
  <si>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</si>
  <si>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</si>
  <si>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</si>
  <si>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</si>
  <si>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</si>
  <si>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</si>
  <si>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</si>
  <si>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</si>
  <si>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</si>
  <si>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</si>
  <si>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</si>
  <si>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</si>
  <si>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</si>
  <si>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</si>
  <si>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</si>
  <si>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</si>
  <si>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</si>
  <si>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</si>
  <si>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</si>
  <si>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</si>
  <si>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</si>
  <si>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</si>
  <si>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</si>
  <si>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</si>
  <si>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</si>
  <si>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</si>
  <si>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</si>
  <si>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</si>
  <si>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</si>
  <si>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</si>
  <si>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</si>
  <si>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</si>
  <si>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</si>
  <si>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</si>
  <si>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</si>
  <si>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</si>
  <si>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</si>
  <si>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</si>
  <si>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</si>
  <si>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</si>
  <si>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</si>
  <si>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</si>
  <si>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</si>
  <si>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</si>
  <si>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</si>
  <si>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</si>
  <si>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</si>
  <si>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</si>
  <si>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</si>
  <si>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</si>
  <si>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</si>
  <si>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</si>
  <si>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</si>
  <si>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</si>
  <si>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</si>
  <si>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</si>
  <si>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</si>
  <si>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</si>
  <si>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</si>
  <si>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</si>
  <si>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</si>
  <si>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</si>
  <si>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</si>
  <si>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</si>
  <si>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</si>
  <si>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</si>
  <si>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</si>
  <si>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</si>
  <si>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</si>
  <si>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</si>
  <si>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</si>
  <si>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</si>
  <si>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</si>
  <si>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</si>
  <si>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</si>
  <si>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</si>
  <si>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</si>
  <si>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</si>
  <si>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</si>
  <si>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</si>
  <si>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</si>
  <si>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</si>
  <si>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</si>
  <si>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</si>
  <si>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</si>
  <si>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</si>
  <si>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</si>
  <si>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</si>
  <si>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</si>
  <si>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</si>
  <si>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</si>
  <si>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</si>
  <si>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</si>
  <si>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</si>
  <si>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</si>
  <si>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</si>
  <si>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</si>
  <si>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</si>
  <si>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</si>
  <si>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</si>
  <si>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</si>
  <si>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</si>
  <si>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</si>
  <si>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</si>
  <si>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</si>
  <si>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</si>
  <si>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</si>
  <si>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</si>
  <si>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</si>
  <si>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</si>
  <si>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</si>
  <si>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</si>
  <si>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</si>
  <si>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</si>
  <si>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</si>
  <si>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</si>
  <si>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</si>
  <si>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</si>
  <si>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</si>
  <si>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</si>
  <si>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</si>
  <si>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</si>
  <si>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</si>
  <si>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</si>
  <si>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</si>
  <si>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</si>
  <si>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</si>
  <si>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</si>
  <si>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</si>
  <si>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</si>
  <si>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</si>
  <si>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</si>
  <si>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</si>
  <si>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</si>
  <si>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</si>
  <si>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</si>
  <si>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</si>
  <si>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</si>
  <si>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</si>
  <si>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</si>
  <si>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</si>
  <si>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</si>
  <si>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</si>
  <si>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</si>
  <si>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</si>
  <si>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</si>
  <si>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</si>
  <si>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</si>
  <si>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</si>
  <si>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</si>
  <si>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</si>
  <si>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</si>
  <si>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</si>
  <si>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</si>
  <si>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</si>
  <si>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</si>
  <si>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</si>
  <si>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</si>
  <si>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</si>
  <si>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</si>
  <si>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</si>
  <si>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</si>
  <si>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</si>
  <si>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</si>
  <si>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</si>
  <si>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</si>
  <si>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</si>
  <si>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</si>
  <si>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</si>
  <si>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</si>
  <si>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</si>
  <si>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</si>
  <si>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</si>
  <si>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</si>
  <si>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</si>
  <si>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</si>
  <si>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</si>
  <si>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</si>
  <si>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</si>
  <si>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</si>
  <si>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</si>
  <si>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</si>
  <si>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</si>
  <si>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</si>
  <si>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</si>
  <si>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</si>
  <si>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</si>
  <si>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</si>
  <si>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</si>
  <si>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</si>
  <si>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</si>
  <si>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</si>
  <si>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</si>
  <si>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</si>
  <si>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</si>
  <si>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</si>
  <si>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</si>
  <si>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</si>
  <si>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</si>
  <si>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</si>
  <si>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</si>
  <si>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</si>
  <si>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</si>
  <si>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</si>
  <si>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</si>
  <si>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</si>
  <si>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</si>
  <si>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</si>
  <si>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</si>
  <si>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</si>
  <si>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</si>
  <si>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</si>
  <si>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</si>
  <si>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</si>
  <si>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</si>
  <si>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</si>
  <si>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</si>
  <si>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</si>
  <si>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</si>
  <si>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</si>
  <si>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</si>
  <si>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</si>
  <si>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</si>
  <si>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</si>
  <si>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</si>
  <si>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</si>
  <si>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</si>
  <si>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</si>
  <si>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</si>
  <si>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</si>
  <si>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</si>
  <si>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</si>
  <si>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</si>
  <si>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</si>
  <si>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</si>
  <si>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</si>
  <si>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</si>
  <si>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</si>
  <si>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</si>
  <si>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</si>
  <si>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</si>
  <si>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</si>
  <si>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</si>
  <si>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</si>
  <si>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</si>
  <si>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</si>
  <si>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</si>
  <si>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</si>
  <si>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</si>
  <si>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</si>
  <si>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</si>
  <si>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</si>
  <si>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</si>
  <si>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</si>
  <si>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</si>
  <si>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</si>
  <si>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</si>
  <si>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</si>
  <si>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</si>
  <si>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</si>
  <si>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</si>
  <si>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</si>
  <si>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</si>
  <si>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</si>
  <si>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</si>
  <si>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</si>
  <si>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</si>
  <si>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</si>
  <si>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</si>
  <si>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</si>
  <si>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</si>
  <si>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</si>
  <si>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</si>
  <si>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</si>
  <si>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</si>
  <si>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</si>
  <si>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</si>
  <si>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</si>
  <si>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</si>
  <si>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</si>
  <si>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</si>
  <si>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</si>
  <si>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</si>
  <si>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</si>
  <si>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</si>
  <si>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</si>
  <si>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</si>
  <si>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</si>
  <si>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</si>
  <si>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</si>
  <si>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</si>
  <si>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</si>
  <si>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</si>
  <si>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</si>
  <si>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</si>
  <si>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</si>
  <si>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</si>
  <si>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</si>
  <si>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</si>
  <si>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</si>
  <si>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</si>
  <si>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</si>
  <si>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</si>
  <si>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</si>
  <si>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</si>
  <si>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</si>
  <si>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</si>
  <si>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</si>
  <si>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</si>
  <si>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</si>
  <si>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</si>
  <si>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</si>
  <si>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</si>
  <si>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</si>
  <si>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</si>
  <si>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</si>
  <si>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</si>
  <si>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</si>
  <si>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</si>
  <si>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</si>
  <si>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</si>
  <si>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</si>
  <si>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</si>
  <si>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</si>
  <si>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</si>
  <si>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</si>
  <si>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</si>
  <si>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</si>
  <si>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</si>
  <si>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</si>
  <si>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</si>
  <si>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</si>
  <si>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</si>
  <si>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</si>
  <si>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</si>
  <si>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</si>
  <si>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</si>
  <si>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</si>
  <si>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</si>
  <si>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</si>
  <si>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</si>
  <si>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</si>
  <si>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</si>
  <si>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</si>
  <si>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</si>
  <si>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</si>
  <si>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</si>
  <si>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</si>
  <si>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</si>
  <si>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</si>
  <si>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</si>
  <si>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</si>
  <si>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</si>
  <si>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</si>
  <si>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</si>
  <si>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</si>
  <si>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</si>
  <si>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</si>
  <si>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</si>
  <si>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</si>
  <si>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</si>
  <si>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</si>
  <si>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</si>
  <si>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</si>
  <si>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</si>
  <si>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</si>
  <si>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</si>
  <si>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</si>
  <si>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</si>
  <si>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</si>
  <si>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</si>
  <si>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</si>
  <si>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</si>
  <si>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</si>
  <si>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</si>
  <si>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</si>
  <si>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</si>
  <si>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</si>
  <si>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</si>
  <si>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</si>
  <si>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</si>
  <si>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</si>
  <si>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</si>
  <si>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</si>
  <si>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</si>
  <si>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</si>
  <si>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</si>
  <si>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</si>
  <si>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</si>
  <si>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</si>
  <si>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</si>
  <si>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</si>
  <si>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</si>
  <si>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</si>
  <si>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</si>
  <si>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</si>
  <si>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</si>
  <si>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</si>
  <si>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</si>
  <si>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>Previsão de MC1 as 10:30h</t>
  </si>
  <si>
    <t>TGR/TIQ2</t>
  </si>
  <si>
    <t>Descarga de pedra SB 710TSF 90min
SB TSF1 45min
SB TSF732 45min</t>
  </si>
  <si>
    <t>2 (Enio e Daniel</t>
  </si>
  <si>
    <t>Aguardando descanso da equipe para finalizar carregamento</t>
  </si>
  <si>
    <t>TGR-TAL</t>
  </si>
  <si>
    <t>TGRTAL</t>
  </si>
  <si>
    <t>Aguardando MC1</t>
  </si>
  <si>
    <t>Previsão de pronto as 9h</t>
  </si>
  <si>
    <t>Previsão de MC1 as 9h</t>
  </si>
  <si>
    <t>Inspeção de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</si>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</sst>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4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AA63" activePane="bottomRight" state="frozen"/>
      <selection pane="bottomRight" activeCell="BD286" sqref="BD28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1137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1138</v>
      </c>
      <c r="BI1" s="365"/>
      <c r="BJ1" s="366"/>
      <c r="BK1" s="367"/>
      <c r="BL1" s="49"/>
      <c r="BM1" s="357" t="s">
        <v>1139</v>
      </c>
      <c r="BN1" s="358"/>
      <c r="BO1" s="358"/>
      <c r="BP1" s="358"/>
      <c r="BQ1" s="358"/>
      <c r="BR1" s="358"/>
      <c r="BS1" s="35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0" t="s">
        <v>1140</v>
      </c>
      <c r="AJ2" s="361"/>
      <c r="AK2" s="361"/>
      <c r="AL2" s="361"/>
      <c r="AM2" s="361"/>
      <c r="AN2" s="361"/>
      <c r="AO2" s="361"/>
      <c r="AP2" s="361"/>
      <c r="AQ2" s="363"/>
      <c r="AR2" s="234"/>
      <c r="AS2" s="375" t="s">
        <v>1143</v>
      </c>
      <c r="AT2" s="362"/>
      <c r="AU2" s="362"/>
      <c r="AV2" s="362"/>
      <c r="AW2" s="362"/>
      <c r="AX2" s="361"/>
      <c r="AY2" s="363"/>
      <c r="AZ2" s="4"/>
      <c r="BA2" s="354" t="s">
        <v>1144</v>
      </c>
      <c r="BB2" s="356"/>
      <c r="BC2" s="360" t="s">
        <v>1141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4" t="s">
        <v>1145</v>
      </c>
      <c r="AJ3" s="356"/>
      <c r="AK3" s="354" t="s">
        <v>1146</v>
      </c>
      <c r="AL3" s="355"/>
      <c r="AM3" s="355"/>
      <c r="AN3" s="355"/>
      <c r="AO3" s="355"/>
      <c r="AP3" s="355"/>
      <c r="AQ3" s="356"/>
      <c r="AR3" s="235"/>
      <c r="AS3" s="378" t="s">
        <v>1152</v>
      </c>
      <c r="AT3" s="379"/>
      <c r="AU3" s="378" t="s">
        <v>1153</v>
      </c>
      <c r="AV3" s="379"/>
      <c r="AW3" s="378" t="s">
        <v>1154</v>
      </c>
      <c r="AX3" s="380"/>
      <c r="AY3" s="63" t="s">
        <v>1155</v>
      </c>
      <c r="AZ3" s="63"/>
      <c r="BA3" s="376"/>
      <c r="BB3" s="377"/>
      <c r="BC3" s="354" t="s">
        <v>1148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1156</v>
      </c>
      <c r="BN3" s="358"/>
      <c r="BO3" s="358"/>
      <c r="BP3" s="359"/>
      <c r="BQ3" s="357" t="s">
        <v>161</v>
      </c>
      <c r="BR3" s="358"/>
      <c r="BS3" s="35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1135</v>
      </c>
      <c r="I21" s="168" t="s">
        <v>587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374</v>
      </c>
      <c r="Y21" s="153" t="s">
        <v>368</v>
      </c>
      <c r="Z21" s="153"/>
      <c r="AA21" s="83" t="s">
        <v>1236</v>
      </c>
      <c r="AB21" s="70" t="s">
        <v>366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398</v>
      </c>
      <c r="BN21" s="14" t="s">
        <v>398</v>
      </c>
      <c r="BO21" s="160" t="s">
        <v>398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1135</v>
      </c>
      <c r="I22" s="168" t="s">
        <v>1135</v>
      </c>
      <c r="J22" s="212">
        <v>74</v>
      </c>
      <c r="K22" s="212">
        <v>498</v>
      </c>
      <c r="L22" s="83">
        <v>501</v>
      </c>
      <c r="M22" s="199" t="s">
        <v>1129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369</v>
      </c>
      <c r="Y22" s="153" t="s">
        <v>368</v>
      </c>
      <c r="Z22" s="153"/>
      <c r="AA22" s="83">
        <v>1</v>
      </c>
      <c r="AB22" s="70" t="s">
        <v>366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390</v>
      </c>
      <c r="BN22" s="14" t="s">
        <v>411</v>
      </c>
      <c r="BO22" s="160" t="s">
        <v>518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1110</v>
      </c>
      <c r="I23" s="168" t="s">
        <v>1110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374</v>
      </c>
      <c r="Y23" s="153" t="s">
        <v>368</v>
      </c>
      <c r="Z23" s="153"/>
      <c r="AA23" s="83" t="s">
        <v>1247</v>
      </c>
      <c r="AB23" s="70" t="s">
        <v>366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398</v>
      </c>
      <c r="BN23" s="14" t="s">
        <v>398</v>
      </c>
      <c r="BO23" s="160" t="s">
        <v>398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934</v>
      </c>
      <c r="I27" s="168" t="s">
        <v>934</v>
      </c>
      <c r="J27" s="212">
        <v>72</v>
      </c>
      <c r="K27" s="212">
        <v>317</v>
      </c>
      <c r="L27" s="83">
        <v>318</v>
      </c>
      <c r="M27" s="199" t="s">
        <v>935</v>
      </c>
      <c r="N27" s="199" t="s">
        <v>936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374</v>
      </c>
      <c r="Y27" s="153" t="s">
        <v>377</v>
      </c>
      <c r="Z27" s="153"/>
      <c r="AA27" s="83">
        <v>1</v>
      </c>
      <c r="AB27" s="70" t="s">
        <v>366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398</v>
      </c>
      <c r="BN27" s="14" t="s">
        <v>398</v>
      </c>
      <c r="BO27" s="160" t="s">
        <v>398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1058</v>
      </c>
      <c r="I29" s="168" t="s">
        <v>804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374</v>
      </c>
      <c r="Y29" s="153" t="s">
        <v>377</v>
      </c>
      <c r="Z29" s="153"/>
      <c r="AA29" s="83" t="s">
        <v>1256</v>
      </c>
      <c r="AB29" s="70" t="s">
        <v>366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618</v>
      </c>
      <c r="I39" s="168" t="s">
        <v>1135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374</v>
      </c>
      <c r="Y39" s="153"/>
      <c r="Z39" s="153"/>
      <c r="AA39" s="83" t="s">
        <v>1260</v>
      </c>
      <c r="AB39" s="70" t="s">
        <v>376</v>
      </c>
      <c r="AC39" s="70" t="s">
        <v>361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398</v>
      </c>
      <c r="BN39" s="14" t="s">
        <v>398</v>
      </c>
      <c r="BO39" s="160" t="s">
        <v>398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1135</v>
      </c>
      <c r="I41" s="168" t="s">
        <v>1135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374</v>
      </c>
      <c r="Y41" s="153"/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390</v>
      </c>
      <c r="BN41" s="14" t="s">
        <v>421</v>
      </c>
      <c r="BO41" s="160" t="s">
        <v>479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1110</v>
      </c>
      <c r="I42" s="168" t="s">
        <v>802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374</v>
      </c>
      <c r="Y42" s="153"/>
      <c r="Z42" s="153"/>
      <c r="AA42" s="83" t="s">
        <v>1267</v>
      </c>
      <c r="AB42" s="70" t="s">
        <v>366</v>
      </c>
      <c r="AC42" s="70" t="s">
        <v>372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398</v>
      </c>
      <c r="BN42" s="14" t="s">
        <v>398</v>
      </c>
      <c r="BO42" s="160" t="s">
        <v>398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934</v>
      </c>
      <c r="I44" s="168" t="s">
        <v>934</v>
      </c>
      <c r="J44" s="212">
        <v>72</v>
      </c>
      <c r="K44" s="212">
        <v>317</v>
      </c>
      <c r="L44" s="83">
        <v>318</v>
      </c>
      <c r="M44" s="199" t="s">
        <v>935</v>
      </c>
      <c r="N44" s="199" t="s">
        <v>936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374</v>
      </c>
      <c r="Y44" s="153"/>
      <c r="Z44" s="153"/>
      <c r="AA44" s="83">
        <v>1</v>
      </c>
      <c r="AB44" s="70" t="s">
        <v>366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398</v>
      </c>
      <c r="BN44" s="14" t="s">
        <v>398</v>
      </c>
      <c r="BO44" s="160" t="s">
        <v>398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1135</v>
      </c>
      <c r="I51" s="168" t="s">
        <v>1135</v>
      </c>
      <c r="J51" s="212">
        <v>74</v>
      </c>
      <c r="K51" s="212">
        <v>499</v>
      </c>
      <c r="L51" s="83">
        <v>501.25</v>
      </c>
      <c r="M51" s="199" t="s">
        <v>1129</v>
      </c>
      <c r="N51" s="199" t="s">
        <v>1131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374</v>
      </c>
      <c r="Y51" s="153"/>
      <c r="Z51" s="153"/>
      <c r="AA51" s="83">
        <v>1</v>
      </c>
      <c r="AB51" s="70" t="s">
        <v>366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390</v>
      </c>
      <c r="BN51" s="14" t="s">
        <v>421</v>
      </c>
      <c r="BO51" s="160" t="s">
        <v>479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934</v>
      </c>
      <c r="I54" s="168" t="s">
        <v>934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374</v>
      </c>
      <c r="Y54" s="153"/>
      <c r="Z54" s="153"/>
      <c r="AA54" s="83">
        <v>1</v>
      </c>
      <c r="AB54" s="70" t="s">
        <v>366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398</v>
      </c>
      <c r="BN54" s="14" t="s">
        <v>398</v>
      </c>
      <c r="BO54" s="160" t="s">
        <v>398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1135</v>
      </c>
      <c r="I60" s="168" t="s">
        <v>618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374</v>
      </c>
      <c r="Y60" s="153"/>
      <c r="Z60" s="153"/>
      <c r="AA60" s="83" t="s">
        <v>1274</v>
      </c>
      <c r="AB60" s="70" t="s">
        <v>371</v>
      </c>
      <c r="AC60" s="70" t="s">
        <v>372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398</v>
      </c>
      <c r="BN60" s="14" t="s">
        <v>398</v>
      </c>
      <c r="BO60" s="160" t="s">
        <v>398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1135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374</v>
      </c>
      <c r="Y61" s="153"/>
      <c r="Z61" s="153"/>
      <c r="AA61" s="83">
        <v>1</v>
      </c>
      <c r="AB61" s="70" t="s">
        <v>366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398</v>
      </c>
      <c r="BN61" s="14" t="s">
        <v>398</v>
      </c>
      <c r="BO61" s="14" t="s">
        <v>398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802</v>
      </c>
      <c r="I62" s="168" t="s">
        <v>804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369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398</v>
      </c>
      <c r="BN63" s="14" t="s">
        <v>398</v>
      </c>
      <c r="BO63" s="160" t="s">
        <v>398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804</v>
      </c>
      <c r="J64" s="212">
        <v>74</v>
      </c>
      <c r="K64" s="212">
        <v>0</v>
      </c>
      <c r="L64" s="83" t="s">
        <v>11</v>
      </c>
      <c r="M64" s="199" t="s">
        <v>723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374</v>
      </c>
      <c r="Y64" s="153"/>
      <c r="Z64" s="153"/>
      <c r="AA64" s="83">
        <v>1</v>
      </c>
      <c r="AB64" s="70" t="s">
        <v>366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934</v>
      </c>
      <c r="I65" s="168" t="s">
        <v>934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374</v>
      </c>
      <c r="Y65" s="153"/>
      <c r="Z65" s="153"/>
      <c r="AA65" s="83">
        <v>1</v>
      </c>
      <c r="AB65" s="70" t="s">
        <v>366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398</v>
      </c>
      <c r="BN65" s="14" t="s">
        <v>398</v>
      </c>
      <c r="BO65" s="160" t="s">
        <v>398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618</v>
      </c>
      <c r="I67" s="168" t="s">
        <v>1135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369</v>
      </c>
      <c r="Y67" s="153" t="s">
        <v>368</v>
      </c>
      <c r="Z67" s="153"/>
      <c r="AA67" s="83" t="s">
        <v>1297</v>
      </c>
      <c r="AB67" s="70" t="s">
        <v>376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389</v>
      </c>
      <c r="BN67" s="14" t="s">
        <v>420</v>
      </c>
      <c r="BO67" s="160" t="s">
        <v>477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587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552</v>
      </c>
      <c r="T69" s="284" t="s">
        <v>556</v>
      </c>
      <c r="U69" s="80" t="s">
        <v>555</v>
      </c>
      <c r="V69" s="294" t="s">
        <v>1245</v>
      </c>
      <c r="W69" s="332" t="s">
        <v>1290</v>
      </c>
      <c r="X69" s="213" t="s">
        <v>374</v>
      </c>
      <c r="Y69" s="153" t="s">
        <v>368</v>
      </c>
      <c r="Z69" s="153"/>
      <c r="AA69" s="83">
        <v>1</v>
      </c>
      <c r="AB69" s="70" t="s">
        <v>366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398</v>
      </c>
      <c r="BN69" s="14" t="s">
        <v>398</v>
      </c>
      <c r="BO69" s="160" t="s">
        <v>398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1135</v>
      </c>
      <c r="I70" s="168" t="s">
        <v>610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374</v>
      </c>
      <c r="Y70" s="153" t="s">
        <v>368</v>
      </c>
      <c r="Z70" s="153"/>
      <c r="AA70" s="83">
        <v>1</v>
      </c>
      <c r="AB70" s="70" t="s">
        <v>366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398</v>
      </c>
      <c r="BN70" s="14" t="s">
        <v>398</v>
      </c>
      <c r="BO70" s="160" t="s">
        <v>398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374</v>
      </c>
      <c r="Y72" s="153" t="s">
        <v>368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398</v>
      </c>
      <c r="BN72" s="14" t="s">
        <v>398</v>
      </c>
      <c r="BO72" s="160" t="s">
        <v>398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374</v>
      </c>
      <c r="Y75" s="153" t="s">
        <v>368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398</v>
      </c>
      <c r="BN75" s="14" t="s">
        <v>398</v>
      </c>
      <c r="BO75" s="14" t="s">
        <v>398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802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374</v>
      </c>
      <c r="Y76" s="153" t="s">
        <v>368</v>
      </c>
      <c r="Z76" s="153"/>
      <c r="AA76" s="83">
        <v>1</v>
      </c>
      <c r="AB76" s="70" t="s">
        <v>366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398</v>
      </c>
      <c r="BN76" s="14" t="s">
        <v>398</v>
      </c>
      <c r="BO76" s="14" t="s">
        <v>398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1064</v>
      </c>
      <c r="I77" s="168" t="s">
        <v>1064</v>
      </c>
      <c r="J77" s="212">
        <v>74</v>
      </c>
      <c r="K77" s="212">
        <v>249.26599999999999</v>
      </c>
      <c r="L77" s="83">
        <v>246.00700000000001</v>
      </c>
      <c r="M77" s="199" t="s">
        <v>793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552</v>
      </c>
      <c r="T77" s="284" t="s">
        <v>723</v>
      </c>
      <c r="U77" s="80" t="s">
        <v>722</v>
      </c>
      <c r="V77" s="193" t="s">
        <v>1254</v>
      </c>
      <c r="W77" s="324" t="s">
        <v>1318</v>
      </c>
      <c r="X77" s="213" t="s">
        <v>369</v>
      </c>
      <c r="Y77" s="153" t="s">
        <v>368</v>
      </c>
      <c r="Z77" s="153"/>
      <c r="AA77" s="83" t="s">
        <v>1267</v>
      </c>
      <c r="AB77" s="70" t="s">
        <v>366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804</v>
      </c>
      <c r="I78" s="168" t="s">
        <v>804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374</v>
      </c>
      <c r="Y78" s="153" t="s">
        <v>368</v>
      </c>
      <c r="Z78" s="153"/>
      <c r="AA78" s="83">
        <v>2</v>
      </c>
      <c r="AB78" s="70" t="s">
        <v>371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396</v>
      </c>
      <c r="BN78" s="14" t="s">
        <v>424</v>
      </c>
      <c r="BO78" s="160" t="s">
        <v>476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934</v>
      </c>
      <c r="I80" s="168" t="s">
        <v>934</v>
      </c>
      <c r="J80" s="212">
        <v>72</v>
      </c>
      <c r="K80" s="212">
        <v>286.39999999999998</v>
      </c>
      <c r="L80" s="83">
        <v>287.39999999999998</v>
      </c>
      <c r="M80" s="199" t="s">
        <v>928</v>
      </c>
      <c r="N80" s="199" t="s">
        <v>929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374</v>
      </c>
      <c r="Y80" s="153" t="s">
        <v>377</v>
      </c>
      <c r="Z80" s="153"/>
      <c r="AA80" s="83">
        <v>1</v>
      </c>
      <c r="AB80" s="70" t="s">
        <v>366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398</v>
      </c>
      <c r="BN80" s="14" t="s">
        <v>398</v>
      </c>
      <c r="BO80" s="160" t="s">
        <v>398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1058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374</v>
      </c>
      <c r="Y82" s="153" t="s">
        <v>377</v>
      </c>
      <c r="Z82" s="153"/>
      <c r="AA82" s="83" t="s">
        <v>1331</v>
      </c>
      <c r="AB82" s="70" t="s">
        <v>376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399</v>
      </c>
      <c r="BN82" s="14" t="s">
        <v>416</v>
      </c>
      <c r="BO82" s="160" t="s">
        <v>489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611</v>
      </c>
      <c r="I87" s="168" t="s">
        <v>611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369</v>
      </c>
      <c r="Y87" s="153" t="s">
        <v>368</v>
      </c>
      <c r="Z87" s="153"/>
      <c r="AA87" s="83">
        <v>1</v>
      </c>
      <c r="AB87" s="70" t="s">
        <v>366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398</v>
      </c>
      <c r="BN87" s="14" t="s">
        <v>398</v>
      </c>
      <c r="BO87" s="160" t="s">
        <v>398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587</v>
      </c>
      <c r="I88" s="168" t="s">
        <v>618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588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374</v>
      </c>
      <c r="Y88" s="153"/>
      <c r="Z88" s="153"/>
      <c r="AA88" s="83">
        <v>1</v>
      </c>
      <c r="AB88" s="70" t="s">
        <v>366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1135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553</v>
      </c>
      <c r="N89" s="199" t="s">
        <v>554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371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1135</v>
      </c>
      <c r="I90" s="168" t="s">
        <v>618</v>
      </c>
      <c r="J90" s="212">
        <v>98</v>
      </c>
      <c r="K90" s="212">
        <v>502</v>
      </c>
      <c r="L90" s="83">
        <v>754</v>
      </c>
      <c r="M90" s="199" t="s">
        <v>553</v>
      </c>
      <c r="N90" s="199" t="s">
        <v>554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374</v>
      </c>
      <c r="Y90" s="153" t="s">
        <v>368</v>
      </c>
      <c r="Z90" s="153"/>
      <c r="AA90" s="83">
        <v>2</v>
      </c>
      <c r="AB90" s="70" t="s">
        <v>371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1113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369</v>
      </c>
      <c r="Y92" s="153" t="s">
        <v>368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1087</v>
      </c>
      <c r="AL92" s="279" t="str">
        <f>IF(BS_CONTROLE[[#This Row],[Local - Encerramento]]=0, "-", BS_CONTROLE[[#This Row],[Local - Encerramento]])</f>
        <v>-</v>
      </c>
      <c r="AM92" s="279" t="s">
        <v>1086</v>
      </c>
      <c r="AN92" s="279" t="s">
        <v>1087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394</v>
      </c>
      <c r="BN92" s="14" t="s">
        <v>424</v>
      </c>
      <c r="BO92" s="160" t="s">
        <v>476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1087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374</v>
      </c>
      <c r="Y94" s="153" t="s">
        <v>368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394</v>
      </c>
      <c r="BN94" s="14" t="s">
        <v>424</v>
      </c>
      <c r="BO94" s="160" t="s">
        <v>521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729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369</v>
      </c>
      <c r="Y96" s="153" t="s">
        <v>368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398</v>
      </c>
      <c r="BN96" s="14" t="s">
        <v>398</v>
      </c>
      <c r="BO96" s="160" t="s">
        <v>398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804</v>
      </c>
      <c r="I98" s="168" t="s">
        <v>804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369</v>
      </c>
      <c r="Y98" s="153" t="s">
        <v>368</v>
      </c>
      <c r="Z98" s="153"/>
      <c r="AA98" s="83" t="s">
        <v>1267</v>
      </c>
      <c r="AB98" s="70" t="s">
        <v>366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398</v>
      </c>
      <c r="BN98" s="14" t="s">
        <v>398</v>
      </c>
      <c r="BO98" s="160" t="s">
        <v>398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934</v>
      </c>
      <c r="I104" s="168" t="s">
        <v>934</v>
      </c>
      <c r="J104" s="212">
        <v>72</v>
      </c>
      <c r="K104" s="212">
        <v>286.39999999999998</v>
      </c>
      <c r="L104" s="83">
        <v>285.39999999999998</v>
      </c>
      <c r="M104" s="199" t="s">
        <v>928</v>
      </c>
      <c r="N104" s="199" t="s">
        <v>929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374</v>
      </c>
      <c r="Y104" s="153" t="s">
        <v>377</v>
      </c>
      <c r="Z104" s="153"/>
      <c r="AA104" s="83">
        <v>1</v>
      </c>
      <c r="AB104" s="70" t="s">
        <v>366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398</v>
      </c>
      <c r="BN104" s="14" t="s">
        <v>398</v>
      </c>
      <c r="BO104" s="160" t="s">
        <v>398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1058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374</v>
      </c>
      <c r="Y107" s="153" t="s">
        <v>377</v>
      </c>
      <c r="Z107" s="153"/>
      <c r="AA107" s="83" t="s">
        <v>1354</v>
      </c>
      <c r="AB107" s="70" t="s">
        <v>371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389</v>
      </c>
      <c r="BN107" s="14" t="s">
        <v>410</v>
      </c>
      <c r="BO107" s="160" t="s">
        <v>477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618</v>
      </c>
      <c r="I110" s="168" t="s">
        <v>618</v>
      </c>
      <c r="J110" s="212">
        <v>98</v>
      </c>
      <c r="K110" s="212">
        <v>735.5</v>
      </c>
      <c r="L110" s="83">
        <v>738.5</v>
      </c>
      <c r="M110" s="199" t="s">
        <v>613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552</v>
      </c>
      <c r="T110" s="284" t="s">
        <v>556</v>
      </c>
      <c r="U110" s="80" t="s">
        <v>555</v>
      </c>
      <c r="V110" s="193" t="s">
        <v>1337</v>
      </c>
      <c r="W110" s="168" t="s">
        <v>1357</v>
      </c>
      <c r="X110" s="213" t="s">
        <v>369</v>
      </c>
      <c r="Y110" s="153" t="s">
        <v>368</v>
      </c>
      <c r="Z110" s="153"/>
      <c r="AA110" s="83" t="s">
        <v>1236</v>
      </c>
      <c r="AB110" s="70" t="s">
        <v>366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398</v>
      </c>
      <c r="BN110" s="14" t="s">
        <v>398</v>
      </c>
      <c r="BO110" s="160" t="s">
        <v>398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611</v>
      </c>
      <c r="I112" s="168" t="s">
        <v>611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369</v>
      </c>
      <c r="Y112" s="153" t="s">
        <v>368</v>
      </c>
      <c r="Z112" s="153"/>
      <c r="AA112" s="83">
        <v>1</v>
      </c>
      <c r="AB112" s="70" t="s">
        <v>366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587</v>
      </c>
      <c r="I116" s="168" t="s">
        <v>610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374</v>
      </c>
      <c r="Y116" s="153" t="s">
        <v>368</v>
      </c>
      <c r="Z116" s="153"/>
      <c r="AA116" s="83">
        <v>1</v>
      </c>
      <c r="AB116" s="70" t="s">
        <v>366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398</v>
      </c>
      <c r="BN116" s="14" t="s">
        <v>398</v>
      </c>
      <c r="BO116" s="160" t="s">
        <v>398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1113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1111</v>
      </c>
      <c r="N117" s="199" t="s">
        <v>1113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369</v>
      </c>
      <c r="Y117" s="153" t="s">
        <v>368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398</v>
      </c>
      <c r="BN117" s="14" t="s">
        <v>398</v>
      </c>
      <c r="BO117" s="160" t="s">
        <v>398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1108</v>
      </c>
      <c r="I119" s="168" t="s">
        <v>804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374</v>
      </c>
      <c r="Y119" s="153" t="s">
        <v>368</v>
      </c>
      <c r="Z119" s="153"/>
      <c r="AA119" s="83">
        <v>1</v>
      </c>
      <c r="AB119" s="70" t="s">
        <v>366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398</v>
      </c>
      <c r="BN119" s="14" t="s">
        <v>398</v>
      </c>
      <c r="BO119" s="160" t="s">
        <v>398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1087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1086</v>
      </c>
      <c r="N121" s="199" t="s">
        <v>1087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374</v>
      </c>
      <c r="Y121" s="153" t="s">
        <v>368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394</v>
      </c>
      <c r="BN121" s="14" t="s">
        <v>424</v>
      </c>
      <c r="BO121" s="160" t="s">
        <v>521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804</v>
      </c>
      <c r="I123" s="168" t="s">
        <v>618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374</v>
      </c>
      <c r="Y123" s="153" t="s">
        <v>368</v>
      </c>
      <c r="Z123" s="153"/>
      <c r="AA123" s="83">
        <v>2</v>
      </c>
      <c r="AB123" s="70" t="s">
        <v>371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393</v>
      </c>
      <c r="BN123" s="14" t="s">
        <v>423</v>
      </c>
      <c r="BO123" s="160" t="s">
        <v>527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369</v>
      </c>
      <c r="Y127" s="153" t="s">
        <v>368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369</v>
      </c>
      <c r="Y129" s="153" t="s">
        <v>368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897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374</v>
      </c>
      <c r="Y131" s="153" t="s">
        <v>377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398</v>
      </c>
      <c r="BN131" s="14" t="s">
        <v>398</v>
      </c>
      <c r="BO131" s="160" t="s">
        <v>398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934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374</v>
      </c>
      <c r="Y133" s="153" t="s">
        <v>377</v>
      </c>
      <c r="Z133" s="153"/>
      <c r="AA133" s="83">
        <v>1</v>
      </c>
      <c r="AB133" s="70" t="s">
        <v>366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398</v>
      </c>
      <c r="BN133" s="14" t="s">
        <v>398</v>
      </c>
      <c r="BO133" s="160" t="s">
        <v>398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1058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374</v>
      </c>
      <c r="Y135" s="153" t="s">
        <v>377</v>
      </c>
      <c r="Z135" s="153"/>
      <c r="AA135" s="83" t="s">
        <v>1354</v>
      </c>
      <c r="AB135" s="70" t="s">
        <v>376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972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398</v>
      </c>
      <c r="BN135" s="14" t="s">
        <v>398</v>
      </c>
      <c r="BO135" s="160" t="s">
        <v>398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618</v>
      </c>
      <c r="I138" s="168" t="s">
        <v>1135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374</v>
      </c>
      <c r="Y138" s="153" t="s">
        <v>368</v>
      </c>
      <c r="Z138" s="153"/>
      <c r="AA138" s="83" t="s">
        <v>1236</v>
      </c>
      <c r="AB138" s="70" t="s">
        <v>366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611</v>
      </c>
      <c r="I140" s="168" t="s">
        <v>611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369</v>
      </c>
      <c r="Y140" s="153" t="s">
        <v>368</v>
      </c>
      <c r="Z140" s="153"/>
      <c r="AA140" s="83">
        <v>1</v>
      </c>
      <c r="AB140" s="70" t="s">
        <v>366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398</v>
      </c>
      <c r="BN140" s="14" t="s">
        <v>398</v>
      </c>
      <c r="BO140" s="160" t="s">
        <v>398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1119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374</v>
      </c>
      <c r="Y143" s="153" t="s">
        <v>377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400</v>
      </c>
      <c r="BN143" s="14" t="s">
        <v>417</v>
      </c>
      <c r="BO143" s="160" t="s">
        <v>491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804</v>
      </c>
      <c r="I147" s="168" t="s">
        <v>618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374</v>
      </c>
      <c r="Y147" s="153" t="s">
        <v>377</v>
      </c>
      <c r="Z147" s="153"/>
      <c r="AA147" s="83">
        <v>2</v>
      </c>
      <c r="AB147" s="70" t="s">
        <v>371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398</v>
      </c>
      <c r="BN147" s="14" t="s">
        <v>398</v>
      </c>
      <c r="BO147" s="160" t="s">
        <v>398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791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793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369</v>
      </c>
      <c r="Y149" s="153" t="s">
        <v>368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398</v>
      </c>
      <c r="BN149" s="14" t="s">
        <v>398</v>
      </c>
      <c r="BO149" s="160" t="s">
        <v>398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368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804</v>
      </c>
      <c r="I152" s="168" t="s">
        <v>804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369</v>
      </c>
      <c r="Y152" s="153" t="s">
        <v>368</v>
      </c>
      <c r="Z152" s="153"/>
      <c r="AA152" s="83" t="s">
        <v>1267</v>
      </c>
      <c r="AB152" s="70" t="s">
        <v>366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786</v>
      </c>
      <c r="I155" s="168" t="s">
        <v>786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374</v>
      </c>
      <c r="Y155" s="153" t="s">
        <v>377</v>
      </c>
      <c r="Z155" s="153"/>
      <c r="AA155" s="83">
        <v>1</v>
      </c>
      <c r="AB155" s="70" t="s">
        <v>366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396</v>
      </c>
      <c r="BN155" s="14" t="s">
        <v>424</v>
      </c>
      <c r="BO155" s="160" t="s">
        <v>476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721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374</v>
      </c>
      <c r="Y159" s="153" t="s">
        <v>377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398</v>
      </c>
      <c r="BN159" s="14" t="s">
        <v>398</v>
      </c>
      <c r="BO159" s="160" t="s">
        <v>398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974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374</v>
      </c>
      <c r="Y164" s="153" t="s">
        <v>377</v>
      </c>
      <c r="Z164" s="153"/>
      <c r="AA164" s="83" t="s">
        <v>1426</v>
      </c>
      <c r="AB164" s="70" t="s">
        <v>376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392</v>
      </c>
      <c r="BN164" s="14" t="s">
        <v>413</v>
      </c>
      <c r="BO164" s="160" t="s">
        <v>519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1058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374</v>
      </c>
      <c r="Y166" s="153" t="s">
        <v>377</v>
      </c>
      <c r="Z166" s="153"/>
      <c r="AA166" s="83" t="s">
        <v>1434</v>
      </c>
      <c r="AB166" s="70" t="s">
        <v>366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398</v>
      </c>
      <c r="BN166" s="14" t="s">
        <v>398</v>
      </c>
      <c r="BO166" s="160" t="s">
        <v>398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611</v>
      </c>
      <c r="I173" s="168" t="s">
        <v>611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374</v>
      </c>
      <c r="Y173" s="153" t="s">
        <v>377</v>
      </c>
      <c r="Z173" s="153"/>
      <c r="AA173" s="83">
        <v>1</v>
      </c>
      <c r="AB173" s="70" t="s">
        <v>366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390</v>
      </c>
      <c r="BN173" s="14" t="s">
        <v>411</v>
      </c>
      <c r="BO173" s="160" t="s">
        <v>529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1102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374</v>
      </c>
      <c r="Y179" s="153" t="s">
        <v>377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791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374</v>
      </c>
      <c r="Y182" s="153" t="s">
        <v>377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912</v>
      </c>
      <c r="I184" s="168" t="s">
        <v>898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374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398</v>
      </c>
      <c r="BN184" s="14" t="s">
        <v>398</v>
      </c>
      <c r="BO184" s="160" t="s">
        <v>398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611</v>
      </c>
      <c r="I190" s="168" t="s">
        <v>611</v>
      </c>
      <c r="J190" s="212">
        <v>98</v>
      </c>
      <c r="K190" s="212">
        <v>733</v>
      </c>
      <c r="L190" s="83">
        <v>740</v>
      </c>
      <c r="M190" s="199" t="s">
        <v>613</v>
      </c>
      <c r="N190" s="199" t="s">
        <v>614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552</v>
      </c>
      <c r="T190" s="284" t="s">
        <v>556</v>
      </c>
      <c r="U190" s="80" t="s">
        <v>555</v>
      </c>
      <c r="V190" s="193" t="s">
        <v>1228</v>
      </c>
      <c r="W190" s="168" t="s">
        <v>1229</v>
      </c>
      <c r="X190" s="213" t="s">
        <v>374</v>
      </c>
      <c r="Y190" s="153" t="s">
        <v>368</v>
      </c>
      <c r="Z190" s="153"/>
      <c r="AA190" s="83">
        <v>1</v>
      </c>
      <c r="AB190" s="70" t="s">
        <v>366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974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972</v>
      </c>
      <c r="N195" s="199" t="s">
        <v>973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374</v>
      </c>
      <c r="Y195" s="153" t="s">
        <v>377</v>
      </c>
      <c r="Z195" s="153"/>
      <c r="AA195" s="83" t="s">
        <v>1451</v>
      </c>
      <c r="AB195" s="70" t="s">
        <v>376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392</v>
      </c>
      <c r="BN195" s="14" t="s">
        <v>413</v>
      </c>
      <c r="BO195" s="160" t="s">
        <v>519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898</v>
      </c>
      <c r="I197" s="168" t="s">
        <v>898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374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398</v>
      </c>
      <c r="BN197" s="14" t="s">
        <v>398</v>
      </c>
      <c r="BO197" s="160" t="s">
        <v>398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802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611</v>
      </c>
      <c r="I209" s="168" t="s">
        <v>611</v>
      </c>
      <c r="J209" s="212">
        <v>98</v>
      </c>
      <c r="K209" s="212">
        <v>733</v>
      </c>
      <c r="L209" s="83">
        <v>755</v>
      </c>
      <c r="M209" s="199" t="s">
        <v>613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552</v>
      </c>
      <c r="T209" s="284" t="s">
        <v>556</v>
      </c>
      <c r="U209" s="80" t="s">
        <v>555</v>
      </c>
      <c r="V209" s="193" t="s">
        <v>1228</v>
      </c>
      <c r="W209" s="168" t="s">
        <v>1456</v>
      </c>
      <c r="X209" s="213" t="s">
        <v>369</v>
      </c>
      <c r="Y209" s="153" t="s">
        <v>368</v>
      </c>
      <c r="Z209" s="153"/>
      <c r="AA209" s="83">
        <v>1</v>
      </c>
      <c r="AB209" s="70" t="s">
        <v>366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398</v>
      </c>
      <c r="BN209" s="14" t="s">
        <v>398</v>
      </c>
      <c r="BO209" s="160" t="s">
        <v>398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577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374</v>
      </c>
      <c r="Y211" s="153" t="s">
        <v>368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398</v>
      </c>
      <c r="BN211" s="14" t="s">
        <v>398</v>
      </c>
      <c r="BO211" s="160" t="s">
        <v>398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1135</v>
      </c>
      <c r="I212" s="168" t="s">
        <v>618</v>
      </c>
      <c r="J212" s="212">
        <v>98</v>
      </c>
      <c r="K212" s="212">
        <v>502</v>
      </c>
      <c r="L212" s="83">
        <v>754</v>
      </c>
      <c r="M212" s="199" t="s">
        <v>553</v>
      </c>
      <c r="N212" s="199" t="s">
        <v>554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552</v>
      </c>
      <c r="T212" s="284" t="s">
        <v>556</v>
      </c>
      <c r="U212" s="80" t="s">
        <v>555</v>
      </c>
      <c r="V212" s="193" t="s">
        <v>1337</v>
      </c>
      <c r="W212" s="168" t="s">
        <v>1339</v>
      </c>
      <c r="X212" s="213" t="s">
        <v>374</v>
      </c>
      <c r="Y212" s="153" t="s">
        <v>368</v>
      </c>
      <c r="Z212" s="153"/>
      <c r="AA212" s="83">
        <v>2</v>
      </c>
      <c r="AB212" s="70" t="s">
        <v>371</v>
      </c>
      <c r="AC212" s="70" t="s">
        <v>361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398</v>
      </c>
      <c r="BN212" s="14" t="s">
        <v>398</v>
      </c>
      <c r="BO212" s="160" t="s">
        <v>398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1119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374</v>
      </c>
      <c r="Y213" s="153" t="s">
        <v>368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394</v>
      </c>
      <c r="BN213" s="14" t="s">
        <v>424</v>
      </c>
      <c r="BO213" s="160" t="s">
        <v>476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803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374</v>
      </c>
      <c r="Y214" s="153" t="s">
        <v>368</v>
      </c>
      <c r="Z214" s="153"/>
      <c r="AA214" s="83">
        <v>1</v>
      </c>
      <c r="AB214" s="70" t="s">
        <v>366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398</v>
      </c>
      <c r="BN214" s="14" t="s">
        <v>398</v>
      </c>
      <c r="BO214" s="160" t="s">
        <v>398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791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374</v>
      </c>
      <c r="Y216" s="153" t="s">
        <v>368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398</v>
      </c>
      <c r="BN216" s="14" t="s">
        <v>398</v>
      </c>
      <c r="BO216" s="160" t="s">
        <v>398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786</v>
      </c>
      <c r="I219" s="168" t="s">
        <v>786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374</v>
      </c>
      <c r="Y219" s="153" t="s">
        <v>368</v>
      </c>
      <c r="Z219" s="153"/>
      <c r="AA219" s="83">
        <v>1</v>
      </c>
      <c r="AB219" s="70" t="s">
        <v>366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396</v>
      </c>
      <c r="BN219" s="14" t="s">
        <v>411</v>
      </c>
      <c r="BO219" s="160" t="s">
        <v>529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974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972</v>
      </c>
      <c r="N222" s="199" t="s">
        <v>973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623</v>
      </c>
      <c r="T222" s="284" t="s">
        <v>922</v>
      </c>
      <c r="U222" s="80" t="s">
        <v>967</v>
      </c>
      <c r="V222" s="193" t="s">
        <v>1254</v>
      </c>
      <c r="W222" s="168" t="s">
        <v>1450</v>
      </c>
      <c r="X222" s="213" t="s">
        <v>374</v>
      </c>
      <c r="Y222" s="153" t="s">
        <v>377</v>
      </c>
      <c r="Z222" s="153"/>
      <c r="AA222" s="83" t="s">
        <v>1477</v>
      </c>
      <c r="AB222" s="70" t="s">
        <v>366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398</v>
      </c>
      <c r="BN222" s="14" t="s">
        <v>398</v>
      </c>
      <c r="BO222" s="160" t="s">
        <v>398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677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615</v>
      </c>
      <c r="I227" s="168" t="s">
        <v>587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369</v>
      </c>
      <c r="Y227" s="153" t="s">
        <v>368</v>
      </c>
      <c r="Z227" s="153"/>
      <c r="AA227" s="83">
        <v>2</v>
      </c>
      <c r="AB227" s="70" t="s">
        <v>371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398</v>
      </c>
      <c r="BN227" s="14" t="s">
        <v>398</v>
      </c>
      <c r="BO227" s="160" t="s">
        <v>398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369</v>
      </c>
      <c r="Y230" s="153" t="s">
        <v>368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618</v>
      </c>
      <c r="I233" s="168" t="s">
        <v>1135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369</v>
      </c>
      <c r="Y233" s="153" t="s">
        <v>368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398</v>
      </c>
      <c r="BN233" s="14" t="s">
        <v>398</v>
      </c>
      <c r="BO233" s="160" t="s">
        <v>398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1134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374</v>
      </c>
      <c r="Y234" s="153" t="s">
        <v>368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398</v>
      </c>
      <c r="BN234" s="14" t="s">
        <v>398</v>
      </c>
      <c r="BO234" s="160" t="s">
        <v>398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1119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1117</v>
      </c>
      <c r="N235" s="199" t="s">
        <v>1119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374</v>
      </c>
      <c r="Y235" s="153" t="s">
        <v>368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802</v>
      </c>
      <c r="I236" s="168" t="s">
        <v>802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369</v>
      </c>
      <c r="Y236" s="153" t="s">
        <v>368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396</v>
      </c>
      <c r="BN236" s="14" t="s">
        <v>424</v>
      </c>
      <c r="BO236" s="160" t="s">
        <v>533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787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369</v>
      </c>
      <c r="Y239" s="153" t="s">
        <v>368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394</v>
      </c>
      <c r="BN239" s="14" t="s">
        <v>424</v>
      </c>
      <c r="BO239" s="160" t="s">
        <v>533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786</v>
      </c>
      <c r="I241" s="168" t="s">
        <v>786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374</v>
      </c>
      <c r="Y241" s="153" t="s">
        <v>377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766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398</v>
      </c>
      <c r="BN243" s="14" t="s">
        <v>398</v>
      </c>
      <c r="BO243" s="160" t="s">
        <v>398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1058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374</v>
      </c>
      <c r="Y245" s="153" t="s">
        <v>377</v>
      </c>
      <c r="Z245" s="153"/>
      <c r="AA245" s="83" t="s">
        <v>1514</v>
      </c>
      <c r="AB245" s="70" t="s">
        <v>366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386</v>
      </c>
      <c r="BN245" s="14" t="s">
        <v>409</v>
      </c>
      <c r="BO245" s="160" t="s">
        <v>495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717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693</v>
      </c>
      <c r="I250" s="168" t="s">
        <v>703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374</v>
      </c>
      <c r="Y250" s="153" t="s">
        <v>377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398</v>
      </c>
      <c r="BN250" s="14" t="s">
        <v>398</v>
      </c>
      <c r="BO250" s="160" t="s">
        <v>398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677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807</v>
      </c>
      <c r="I252" s="168" t="s">
        <v>830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374</v>
      </c>
      <c r="Y252" s="153" t="s">
        <v>377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398</v>
      </c>
      <c r="BN252" s="14" t="s">
        <v>398</v>
      </c>
      <c r="BO252" s="160" t="s">
        <v>398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885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374</v>
      </c>
      <c r="Y253" s="153" t="s">
        <v>377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398</v>
      </c>
      <c r="BN253" s="14" t="s">
        <v>398</v>
      </c>
      <c r="BO253" s="160" t="s">
        <v>398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611</v>
      </c>
      <c r="I260" s="168" t="s">
        <v>611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369</v>
      </c>
      <c r="Y260" s="153" t="s">
        <v>368</v>
      </c>
      <c r="Z260" s="153"/>
      <c r="AA260" s="83">
        <v>1</v>
      </c>
      <c r="AB260" s="70" t="s">
        <v>366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>
        <v>0.38055555555555554</v>
      </c>
      <c r="AS260" s="38">
        <v>0.55625000000000002</v>
      </c>
      <c r="AT260" s="38">
        <v>0.80625000000000002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0.25</v>
      </c>
      <c r="AZ260" s="13"/>
      <c r="BA260" s="347">
        <v>4539</v>
      </c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2</v>
      </c>
      <c r="BI260" s="16"/>
      <c r="BJ260" s="16" t="s">
        <v>1532</v>
      </c>
      <c r="BK260" s="16" t="s">
        <v>1533</v>
      </c>
      <c r="BL260" s="15"/>
      <c r="BM260" s="14" t="s">
        <v>398</v>
      </c>
      <c r="BN260" s="14" t="s">
        <v>398</v>
      </c>
      <c r="BO260" s="160" t="s">
        <v>398</v>
      </c>
      <c r="BP260" s="16"/>
      <c r="BQ260" s="12" t="str">
        <f t="shared" si="32"/>
        <v>Aderente</v>
      </c>
      <c r="BR260" s="18">
        <f t="shared" si="33"/>
        <v>1</v>
      </c>
      <c r="BS260" s="18">
        <f t="shared" si="34"/>
        <v>1.3508928571428571</v>
      </c>
      <c r="BT260" s="220" t="str">
        <f t="shared" si="26"/>
        <v>OKOK</v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25</v>
      </c>
      <c r="G263" s="9" t="str">
        <f>IF(D263="","*",VLOOKUP(F263,BS_ATIVIDADE[#All],3,FALSE))</f>
        <v>OUTROS</v>
      </c>
      <c r="H263" s="331" t="s">
        <v>1534</v>
      </c>
      <c r="I263" s="331" t="s">
        <v>587</v>
      </c>
      <c r="J263" s="212">
        <v>98</v>
      </c>
      <c r="K263" s="212">
        <v>754</v>
      </c>
      <c r="L263" s="83">
        <v>616.65</v>
      </c>
      <c r="M263" s="199" t="s">
        <v>1535</v>
      </c>
      <c r="N263" s="199" t="s">
        <v>1536</v>
      </c>
      <c r="O263" s="168">
        <v>0.41666666666666669</v>
      </c>
      <c r="P263" s="168">
        <v>4.1666666666666664E-2</v>
      </c>
      <c r="Q263" s="83">
        <v>1</v>
      </c>
      <c r="R263" s="10" t="str">
        <f>IFERROR(_xlfn.XLOOKUP(F263, BS_ATIVIDADE[ATIVIDADE],BS_ATIVIDADE[UNIDADE] ), "*")</f>
        <v>BINÁRIO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1537</v>
      </c>
      <c r="X263" s="213" t="s">
        <v>374</v>
      </c>
      <c r="Y263" s="153" t="s">
        <v>377</v>
      </c>
      <c r="Z263" s="153"/>
      <c r="AA263" s="83">
        <v>2</v>
      </c>
      <c r="AB263" s="70" t="s">
        <v>371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DESLOCAMENTO</v>
      </c>
      <c r="AJ263" s="9" t="str">
        <f>IF(D263="","*",VLOOKUP(AI263,BS_ATIVIDADE[#Data],3,FALSE))</f>
        <v>OUTROS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TIQ</v>
      </c>
      <c r="AM263" s="279" t="str">
        <f>IF(BS_CONTROLE[[#This Row],[Entre - Estações]]=0, "-", BS_CONTROLE[[#This Row],[Entre - Estações]])</f>
        <v>RVD-TIQ</v>
      </c>
      <c r="AN263" s="279" t="str">
        <f>IF(BS_CONTROLE[[#This Row],[SB]]=0, "-", BS_CONTROLE[[#This Row],[SB]])</f>
        <v>RVDTIQ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754</v>
      </c>
      <c r="AQ263" s="281">
        <f>IF(BS_CONTROLE[[#This Row],[KM - Fim]]=0, "-", BS_CONTROLE[[#This Row],[KM - Fim]])</f>
        <v>616.65</v>
      </c>
      <c r="AR263" s="38">
        <v>0.99444444444444446</v>
      </c>
      <c r="AS263" s="38">
        <v>0</v>
      </c>
      <c r="AT263" s="38">
        <v>4.1666666666666664E-2</v>
      </c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4.1666666666666664E-2</v>
      </c>
      <c r="AZ263" s="13"/>
      <c r="BA263" s="347">
        <v>1</v>
      </c>
      <c r="BB263" s="10" t="str">
        <f>IFERROR(_xlfn.XLOOKUP(AI263, BS_ATIVIDADE[ATIVIDADE],BS_ATIVIDADE[UNIDADE] ), "*")</f>
        <v>BINÁRIO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>
        <v>2</v>
      </c>
      <c r="BI263" s="16"/>
      <c r="BJ263" s="16" t="s">
        <v>1538</v>
      </c>
      <c r="BK263" s="16" t="s">
        <v>1538</v>
      </c>
      <c r="BL263" s="15"/>
      <c r="BM263" s="14" t="s">
        <v>398</v>
      </c>
      <c r="BN263" s="14" t="s">
        <v>398</v>
      </c>
      <c r="BO263" s="160" t="s">
        <v>398</v>
      </c>
      <c r="BP263" s="16"/>
      <c r="BQ263" s="12" t="str">
        <f t="shared" si="32"/>
        <v>Aderente</v>
      </c>
      <c r="BR263" s="18">
        <f t="shared" si="33"/>
        <v>1</v>
      </c>
      <c r="BS263" s="18">
        <f t="shared" si="34"/>
        <v>1</v>
      </c>
      <c r="BT263" s="220" t="str">
        <f t="shared" si="26"/>
        <v>OKOK</v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</v>
      </c>
      <c r="B267" s="166"/>
      <c r="C267" s="8" t="str">
        <f>IF(BS_CONTROLE[[#This Row],[DATA]]="","",WEEKNUM(BS_CONTROLE[[#This Row],[DATA]]))</f>
        <v/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1135</v>
      </c>
      <c r="I267" s="331" t="s">
        <v>587</v>
      </c>
      <c r="J267" s="212">
        <v>98</v>
      </c>
      <c r="K267" s="212">
        <v>502</v>
      </c>
      <c r="L267" s="83">
        <v>754</v>
      </c>
      <c r="M267" s="199" t="s">
        <v>553</v>
      </c>
      <c r="N267" s="199" t="s">
        <v>554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1539</v>
      </c>
      <c r="X267" s="213" t="s">
        <v>374</v>
      </c>
      <c r="Y267" s="153" t="s">
        <v>377</v>
      </c>
      <c r="Z267" s="153"/>
      <c r="AA267" s="83" t="s">
        <v>1236</v>
      </c>
      <c r="AB267" s="70" t="s">
        <v>366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1540</v>
      </c>
      <c r="BK267" s="16" t="s">
        <v>1540</v>
      </c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1118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374</v>
      </c>
      <c r="Y270" s="153" t="s">
        <v>377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>
        <v>0.37152777777777779</v>
      </c>
      <c r="AS270" s="38">
        <v>0.39861111111111114</v>
      </c>
      <c r="AT270" s="38">
        <v>0.48194444444444445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8.3333333333333315E-2</v>
      </c>
      <c r="AZ270" s="13"/>
      <c r="BA270" s="71">
        <v>2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2</v>
      </c>
      <c r="BI270" s="16"/>
      <c r="BJ270" s="16" t="s">
        <v>1541</v>
      </c>
      <c r="BK270" s="16" t="s">
        <v>1542</v>
      </c>
      <c r="BL270" s="15"/>
      <c r="BM270" s="14" t="s">
        <v>398</v>
      </c>
      <c r="BN270" s="14" t="s">
        <v>398</v>
      </c>
      <c r="BO270" s="160" t="s">
        <v>398</v>
      </c>
      <c r="BP270" s="16"/>
      <c r="BQ270" s="12" t="str">
        <f t="shared" si="32"/>
        <v>Aderente</v>
      </c>
      <c r="BR270" s="18">
        <f t="shared" si="33"/>
        <v>0.99999999999999978</v>
      </c>
      <c r="BS270" s="18">
        <f t="shared" si="34"/>
        <v>2</v>
      </c>
      <c r="BT270" s="220" t="str">
        <f t="shared" si="26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802</v>
      </c>
      <c r="I273" s="168" t="s">
        <v>1135</v>
      </c>
      <c r="J273" s="212">
        <v>74</v>
      </c>
      <c r="K273" s="212">
        <v>291</v>
      </c>
      <c r="L273" s="83" t="s">
        <v>11</v>
      </c>
      <c r="M273" s="199" t="s">
        <v>732</v>
      </c>
      <c r="N273" s="199" t="s">
        <v>1543</v>
      </c>
      <c r="O273" s="168">
        <v>0.33333333333333331</v>
      </c>
      <c r="P273" s="168">
        <v>4.1666666666666664E-2</v>
      </c>
      <c r="Q273" s="83">
        <v>200</v>
      </c>
      <c r="R273" s="10" t="s">
        <v>30</v>
      </c>
      <c r="S273" s="284" t="s">
        <v>552</v>
      </c>
      <c r="T273" s="284" t="s">
        <v>732</v>
      </c>
      <c r="U273" s="80" t="s">
        <v>722</v>
      </c>
      <c r="V273" s="193" t="s">
        <v>1284</v>
      </c>
      <c r="W273" s="168" t="s">
        <v>1290</v>
      </c>
      <c r="X273" s="213" t="s">
        <v>374</v>
      </c>
      <c r="Y273" s="153" t="s">
        <v>377</v>
      </c>
      <c r="Z273" s="153"/>
      <c r="AA273" s="83">
        <v>1</v>
      </c>
      <c r="AB273" s="70" t="s">
        <v>366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>
        <v>0.3298611111111111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200</v>
      </c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2</v>
      </c>
      <c r="BI273" s="16"/>
      <c r="BJ273" s="16" t="s">
        <v>1544</v>
      </c>
      <c r="BK273" s="16" t="s">
        <v>1545</v>
      </c>
      <c r="BL273" s="15"/>
      <c r="BM273" s="14" t="s">
        <v>398</v>
      </c>
      <c r="BN273" s="14" t="s">
        <v>398</v>
      </c>
      <c r="BO273" s="160" t="s">
        <v>398</v>
      </c>
      <c r="BP273" s="16"/>
      <c r="BQ273" s="12" t="str">
        <f t="shared" si="32"/>
        <v>Aderente</v>
      </c>
      <c r="BR273" s="18">
        <f t="shared" si="33"/>
        <v>1</v>
      </c>
      <c r="BS273" s="18">
        <f t="shared" si="34"/>
        <v>1</v>
      </c>
      <c r="BT273" s="220" t="str">
        <f t="shared" si="26"/>
        <v>OKOK</v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786</v>
      </c>
      <c r="I275" s="168" t="s">
        <v>786</v>
      </c>
      <c r="J275" s="212">
        <v>74</v>
      </c>
      <c r="K275" s="212">
        <v>174</v>
      </c>
      <c r="L275" s="83">
        <v>172</v>
      </c>
      <c r="M275" s="199" t="s">
        <v>783</v>
      </c>
      <c r="N275" s="199" t="s">
        <v>784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374</v>
      </c>
      <c r="Y275" s="153" t="s">
        <v>377</v>
      </c>
      <c r="Z275" s="153"/>
      <c r="AA275" s="83">
        <v>1</v>
      </c>
      <c r="AB275" s="70" t="s">
        <v>366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>
        <v>0.38194444444444442</v>
      </c>
      <c r="AS275" s="38">
        <v>0.44027777777777777</v>
      </c>
      <c r="AT275" s="38">
        <v>0.58194444444444449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0.14166666666666672</v>
      </c>
      <c r="AZ275" s="13"/>
      <c r="BA275" s="353">
        <v>2215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2</v>
      </c>
      <c r="BI275" s="16"/>
      <c r="BJ275" s="16" t="s">
        <v>1546</v>
      </c>
      <c r="BK275" s="16" t="s">
        <v>1547</v>
      </c>
      <c r="BL275" s="15"/>
      <c r="BM275" s="14" t="s">
        <v>398</v>
      </c>
      <c r="BN275" s="14" t="s">
        <v>398</v>
      </c>
      <c r="BO275" s="160" t="s">
        <v>398</v>
      </c>
      <c r="BP275" s="16"/>
      <c r="BQ275" s="12" t="str">
        <f t="shared" si="32"/>
        <v>Aderente</v>
      </c>
      <c r="BR275" s="18">
        <f t="shared" si="33"/>
        <v>1.1333333333333337</v>
      </c>
      <c r="BS275" s="18">
        <f t="shared" si="34"/>
        <v>4.43</v>
      </c>
      <c r="BT275" s="220" t="str">
        <f t="shared" ref="BT275:BT338" si="39">IF(BN275="","",SUBSTITUTE(BM275," ","")&amp;SUBSTITUTE(BN275," ",""))</f>
        <v>OKOK</v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759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1548</v>
      </c>
      <c r="X284" s="213" t="s">
        <v>374</v>
      </c>
      <c r="Y284" s="153" t="s">
        <v>377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>
        <v>0.51388888888888884</v>
      </c>
      <c r="AS284" s="38">
        <v>0.51388888888888884</v>
      </c>
      <c r="AT284" s="38">
        <v>0.59722222222222221</v>
      </c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8.333333333333337E-2</v>
      </c>
      <c r="AZ284" s="13"/>
      <c r="BA284" s="71">
        <v>2</v>
      </c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>
        <v>2</v>
      </c>
      <c r="BI284" s="16"/>
      <c r="BJ284" s="16" t="s">
        <v>1549</v>
      </c>
      <c r="BK284" s="16" t="s">
        <v>1550</v>
      </c>
      <c r="BL284" s="15"/>
      <c r="BM284" s="14" t="s">
        <v>398</v>
      </c>
      <c r="BN284" s="14" t="s">
        <v>398</v>
      </c>
      <c r="BO284" s="160" t="s">
        <v>398</v>
      </c>
      <c r="BP284" s="16"/>
      <c r="BQ284" s="12" t="str">
        <f t="shared" si="32"/>
        <v>Aderente</v>
      </c>
      <c r="BR284" s="18">
        <f t="shared" si="33"/>
        <v>1.0000000000000004</v>
      </c>
      <c r="BS284" s="18">
        <f t="shared" si="34"/>
        <v>1</v>
      </c>
      <c r="BT284" s="220" t="str">
        <f t="shared" si="39"/>
        <v>OKOK</v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1551</v>
      </c>
      <c r="W286" s="168" t="s">
        <v>1309</v>
      </c>
      <c r="X286" s="213" t="s">
        <v>374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>
        <v>1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2</v>
      </c>
      <c r="BI286" s="16"/>
      <c r="BJ286" s="16" t="s">
        <v>1552</v>
      </c>
      <c r="BK286" s="16" t="s">
        <v>1553</v>
      </c>
      <c r="BL286" s="15"/>
      <c r="BM286" s="14" t="s">
        <v>398</v>
      </c>
      <c r="BN286" s="14" t="s">
        <v>398</v>
      </c>
      <c r="BO286" s="160" t="s">
        <v>398</v>
      </c>
      <c r="BP286" s="16"/>
      <c r="BQ286" s="12" t="str">
        <f t="shared" si="41"/>
        <v>Aderente</v>
      </c>
      <c r="BR286" s="18">
        <f t="shared" si="42"/>
        <v>1.0000000000000004</v>
      </c>
      <c r="BS286" s="18">
        <f t="shared" si="43"/>
        <v>1</v>
      </c>
      <c r="BT286" s="220" t="str">
        <f t="shared" si="39"/>
        <v>OKOK</v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>E14</v>
      </c>
      <c r="B288" s="166"/>
      <c r="C288" s="8" t="str">
        <f>IF(BS_CONTROLE[[#This Row],[DATA]]="","",WEEKNUM(BS_CONTROLE[[#This Row],[DATA]]))</f>
        <v/>
      </c>
      <c r="D288" s="51" t="s">
        <v>150</v>
      </c>
      <c r="E288" s="314">
        <v>290</v>
      </c>
      <c r="F288" s="167" t="s">
        <v>108</v>
      </c>
      <c r="G288" s="9" t="str">
        <f>IF(D288="","*",VLOOKUP(F288,BS_ATIVIDADE[#All],3,FALSE))</f>
        <v>MECANIZAÇÃO - ESMERILHADORA</v>
      </c>
      <c r="H288" s="168" t="s">
        <v>892</v>
      </c>
      <c r="I288" s="168" t="s">
        <v>885</v>
      </c>
      <c r="J288" s="212">
        <v>103</v>
      </c>
      <c r="K288" s="212">
        <v>2075</v>
      </c>
      <c r="L288" s="83">
        <v>2029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88" s="168">
        <v>0.99930555555555556</v>
      </c>
      <c r="P288" s="168">
        <v>4.1666666666666664E-2</v>
      </c>
      <c r="Q288" s="83">
        <v>20000</v>
      </c>
      <c r="R288" s="10" t="str">
        <f>IFERROR(_xlfn.XLOOKUP(F288, BS_ATIVIDADE[ATIVIDADE],BS_ATIVIDADE[UNIDADE] ), "*")</f>
        <v>M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8" s="80" t="str">
        <f>IFERROR(_xlfn.XLOOKUP(J288, BASE_MAPA!$E$2:$E$359, BASE_MAPA!$J$2:$J$359), "ERRO")</f>
        <v>OURO VERDE - LIGAÇÃO</v>
      </c>
      <c r="V288" s="193" t="s">
        <v>1444</v>
      </c>
      <c r="W288" s="324" t="s">
        <v>1554</v>
      </c>
      <c r="X288" s="213" t="s">
        <v>374</v>
      </c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MECANIZAÇÃO - ESMERILHADORA</v>
      </c>
      <c r="AJ288" s="9" t="str">
        <f>IF(D288="","*",VLOOKUP(AI288,BS_ATIVIDADE[#Data],3,FALSE))</f>
        <v>MECANIZAÇÃO - ESMERILHADORA</v>
      </c>
      <c r="AK288" s="279" t="str">
        <f>IF(BS_CONTROLE[[#This Row],[Local - Partida]]=0, "-", BS_CONTROLE[[#This Row],[Local - Partida]])</f>
        <v>PUD</v>
      </c>
      <c r="AL288" s="279" t="str">
        <f>IF(BS_CONTROLE[[#This Row],[Local - Encerramento]]=0, "-", BS_CONTROLE[[#This Row],[Local - Encerramento]])</f>
        <v>PSS</v>
      </c>
      <c r="AM288" s="279" t="str">
        <f>IF(BS_CONTROLE[[#This Row],[Entre - Estações]]=0, "-", BS_CONTROLE[[#This Row],[Entre - Estações]])</f>
        <v>PUD-K57</v>
      </c>
      <c r="AN288" s="279" t="str">
        <f>IF(BS_CONTROLE[[#This Row],[SB]]=0, "-", BS_CONTROLE[[#This Row],[SB]])</f>
        <v>PUDK56</v>
      </c>
      <c r="AO288" s="280">
        <f>IF(BS_CONTROLE[[#This Row],[SUB]]=0, "-", BS_CONTROLE[[#This Row],[SUB]])</f>
        <v>103</v>
      </c>
      <c r="AP288" s="281">
        <f>IF(BS_CONTROLE[[#This Row],[KM - Inicio]]=0, "-", BS_CONTROLE[[#This Row],[KM - Inicio]])</f>
        <v>2075</v>
      </c>
      <c r="AQ288" s="281">
        <f>IF(BS_CONTROLE[[#This Row],[KM - Fim]]=0, "-", BS_CONTROLE[[#This Row],[KM - Fim]])</f>
        <v>2029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M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8" s="11" t="str">
        <f>IFERROR(_xlfn.XLOOKUP(AO288, BASE_MAPA!$E$2:$E$359, BASE_MAPA!$J$2:$J$359), "ERRO")</f>
        <v>OURO VERDE - LIGAÇÃO</v>
      </c>
      <c r="BF288" s="282" t="str">
        <f>IF(BS_CONTROLE[[#This Row],[Responsavel pelo boletim]]=0, "-", BS_CONTROLE[[#This Row],[Responsavel pelo boletim]])</f>
        <v>Fernanda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1555</v>
      </c>
      <c r="I289" s="168" t="s">
        <v>974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1556</v>
      </c>
      <c r="W289" s="168" t="s">
        <v>1557</v>
      </c>
      <c r="X289" s="213" t="s">
        <v>374</v>
      </c>
      <c r="Y289" s="153" t="s">
        <v>377</v>
      </c>
      <c r="Z289" s="153"/>
      <c r="AA289" s="83">
        <v>1</v>
      </c>
      <c r="AB289" s="70" t="s">
        <v>366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>
        <v>0.41180555555555554</v>
      </c>
      <c r="AS289" s="38">
        <v>0.41666666666666669</v>
      </c>
      <c r="AT289" s="38">
        <v>0.45833333333333331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4.166666666666663E-2</v>
      </c>
      <c r="AZ289" s="13"/>
      <c r="BA289" s="71">
        <v>11</v>
      </c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2</v>
      </c>
      <c r="BI289" s="16"/>
      <c r="BJ289" s="16" t="s">
        <v>1558</v>
      </c>
      <c r="BK289" s="16" t="s">
        <v>1558</v>
      </c>
      <c r="BL289" s="15"/>
      <c r="BM289" s="14" t="s">
        <v>398</v>
      </c>
      <c r="BN289" s="14" t="s">
        <v>398</v>
      </c>
      <c r="BO289" s="160" t="s">
        <v>398</v>
      </c>
      <c r="BP289" s="16"/>
      <c r="BQ289" s="12" t="str">
        <f t="shared" si="41"/>
        <v>Intervalo</v>
      </c>
      <c r="BR289" s="18">
        <f t="shared" si="42"/>
        <v>0.99999999999999911</v>
      </c>
      <c r="BS289" s="18">
        <f t="shared" si="43"/>
        <v>1</v>
      </c>
      <c r="BT289" s="220" t="str">
        <f t="shared" si="39"/>
        <v>OKOK</v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>E48</v>
      </c>
      <c r="B291" s="352"/>
      <c r="C291" s="8" t="str">
        <f>IF(BS_CONTROLE[[#This Row],[DATA]]="","",WEEKNUM(BS_CONTROLE[[#This Row],[DATA]]))</f>
        <v/>
      </c>
      <c r="D291" s="51" t="s">
        <v>1510</v>
      </c>
      <c r="E291" s="315">
        <v>293</v>
      </c>
      <c r="F291" s="167" t="s">
        <v>25</v>
      </c>
      <c r="G291" s="9" t="str">
        <f>IF(D291="","*",VLOOKUP(F291,BS_ATIVIDADE[#All],3,FALSE))</f>
        <v>OUTROS</v>
      </c>
      <c r="H291" s="168" t="s">
        <v>1058</v>
      </c>
      <c r="I291" s="168" t="s">
        <v>1511</v>
      </c>
      <c r="J291" s="212">
        <v>78</v>
      </c>
      <c r="K291" s="212">
        <v>334</v>
      </c>
      <c r="L291" s="83" t="s">
        <v>11</v>
      </c>
      <c r="M291" s="199" t="s">
        <v>1512</v>
      </c>
      <c r="N291" s="199" t="s">
        <v>1512</v>
      </c>
      <c r="O291" s="168">
        <v>0.45833333333333331</v>
      </c>
      <c r="P291" s="168">
        <v>4.1666666666666664E-2</v>
      </c>
      <c r="Q291" s="83">
        <v>1</v>
      </c>
      <c r="R291" s="10" t="s">
        <v>9</v>
      </c>
      <c r="S291" s="284" t="s">
        <v>623</v>
      </c>
      <c r="T291" s="284" t="s">
        <v>922</v>
      </c>
      <c r="U291" s="80" t="s">
        <v>967</v>
      </c>
      <c r="V291" s="193" t="s">
        <v>1254</v>
      </c>
      <c r="W291" s="168" t="s">
        <v>1513</v>
      </c>
      <c r="X291" s="213" t="s">
        <v>374</v>
      </c>
      <c r="Y291" s="153" t="s">
        <v>377</v>
      </c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9" t="str">
        <f>IF(BS_CONTROLE[[#This Row],[Local - Partida]]=0, "-", BS_CONTROLE[[#This Row],[Local - Partida]])</f>
        <v>ZTP</v>
      </c>
      <c r="AL291" s="279" t="str">
        <f>IF(BS_CONTROLE[[#This Row],[Local - Encerramento]]=0, "-", BS_CONTROLE[[#This Row],[Local - Encerramento]])</f>
        <v>ZPG</v>
      </c>
      <c r="AM291" s="279" t="str">
        <f>IF(BS_CONTROLE[[#This Row],[Entre - Estações]]=0, "-", BS_CONTROLE[[#This Row],[Entre - Estações]])</f>
        <v>ZTP-ZPG</v>
      </c>
      <c r="AN291" s="279" t="str">
        <f>IF(BS_CONTROLE[[#This Row],[SB]]=0, "-", BS_CONTROLE[[#This Row],[SB]])</f>
        <v>ZTP-ZPG</v>
      </c>
      <c r="AO291" s="280">
        <f>IF(BS_CONTROLE[[#This Row],[SUB]]=0, "-", BS_CONTROLE[[#This Row],[SUB]])</f>
        <v>78</v>
      </c>
      <c r="AP291" s="281">
        <f>IF(BS_CONTROLE[[#This Row],[KM - Inicio]]=0, "-", BS_CONTROLE[[#This Row],[KM - Inicio]])</f>
        <v>334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1" s="11" t="str">
        <f>IFERROR(_xlfn.XLOOKUP(AO291, BASE_MAPA!$E$2:$E$359, BASE_MAPA!$J$2:$J$359), "ERRO")</f>
        <v>ITIRAPINA - BAURU</v>
      </c>
      <c r="BF291" s="282" t="str">
        <f>IF(BS_CONTROLE[[#This Row],[Responsavel pelo boletim]]=0, "-", BS_CONTROLE[[#This Row],[Responsavel pelo boletim]])</f>
        <v>PCM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>V8646037</v>
      </c>
      <c r="B295" s="166">
        <v>46037</v>
      </c>
      <c r="C295" s="8">
        <f>IF(BS_CONTROLE[[#This Row],[DATA]]="","",WEEKNUM(BS_CONTROLE[[#This Row],[DATA]]))</f>
        <v>3</v>
      </c>
      <c r="D295" s="51" t="s">
        <v>215</v>
      </c>
      <c r="E295" s="314">
        <v>297</v>
      </c>
      <c r="F295" s="167" t="s">
        <v>117</v>
      </c>
      <c r="G295" s="9" t="str">
        <f>IF(D295="","*",VLOOKUP(F295,BS_ATIVIDADE[#All],3,FALSE))</f>
        <v>MECANIZAÇÃO - SOCADORA</v>
      </c>
      <c r="H295" s="168" t="s">
        <v>611</v>
      </c>
      <c r="I295" s="168" t="s">
        <v>611</v>
      </c>
      <c r="J295" s="212">
        <v>98</v>
      </c>
      <c r="K295" s="212">
        <v>746</v>
      </c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95" s="331">
        <v>0.4375</v>
      </c>
      <c r="P295" s="168">
        <v>0.25</v>
      </c>
      <c r="Q295" s="83">
        <v>3360</v>
      </c>
      <c r="R295" s="10" t="str">
        <f>IFERROR(_xlfn.XLOOKUP(F295, BS_ATIVIDADE[ATIVIDADE],BS_ATIVIDADE[UNIDADE] ), "*")</f>
        <v>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BASE_MAPA!$E$2:$E$359, BASE_MAPA!$J$2:$J$359), "ERRO")</f>
        <v>ALTO ARAGUAIA - RONDONOPOLIS</v>
      </c>
      <c r="V295" s="193" t="s">
        <v>1228</v>
      </c>
      <c r="W295" s="168" t="s">
        <v>1229</v>
      </c>
      <c r="X295" s="213" t="s">
        <v>369</v>
      </c>
      <c r="Y295" s="153" t="s">
        <v>368</v>
      </c>
      <c r="Z295" s="153"/>
      <c r="AA295" s="83">
        <v>1</v>
      </c>
      <c r="AB295" s="70" t="s">
        <v>366</v>
      </c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MECANIZAÇÃO - SOCADORA</v>
      </c>
      <c r="AJ295" s="9" t="str">
        <f>IF(D295="","*",VLOOKUP(AI295,BS_ATIVIDADE[#Data],3,FALSE))</f>
        <v>MECANIZAÇÃO - SOCADORA</v>
      </c>
      <c r="AK295" s="279" t="str">
        <f>IF(BS_CONTROLE[[#This Row],[Local - Partida]]=0, "-", BS_CONTROLE[[#This Row],[Local - Partida]])</f>
        <v>TSF1</v>
      </c>
      <c r="AL295" s="279" t="str">
        <f>IF(BS_CONTROLE[[#This Row],[Local - Encerramento]]=0, "-", BS_CONTROLE[[#This Row],[Local - Encerramento]])</f>
        <v>TSF1</v>
      </c>
      <c r="AM295" s="279" t="str">
        <f>IF(BS_CONTROLE[[#This Row],[Entre - Estações]]=0, "-", BS_CONTROLE[[#This Row],[Entre - Estações]])</f>
        <v>TSF-TRO</v>
      </c>
      <c r="AN295" s="279" t="str">
        <f>IF(BS_CONTROLE[[#This Row],[SB]]=0, "-", BS_CONTROLE[[#This Row],[SB]])</f>
        <v>744TEX</v>
      </c>
      <c r="AO295" s="280">
        <f>IF(BS_CONTROLE[[#This Row],[SUB]]=0, "-", BS_CONTROLE[[#This Row],[SUB]])</f>
        <v>98</v>
      </c>
      <c r="AP295" s="281">
        <f>IF(BS_CONTROLE[[#This Row],[KM - Inicio]]=0, "-", BS_CONTROLE[[#This Row],[KM - Inicio]])</f>
        <v>746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282" t="str">
        <f>IF(BS_CONTROLE[[#This Row],[Responsavel pelo boletim]]=0, "-", BS_CONTROLE[[#This Row],[Responsavel pelo boletim]])</f>
        <v>Antonioni</v>
      </c>
      <c r="BG295" s="15"/>
      <c r="BH295" s="16"/>
      <c r="BI295" s="16"/>
      <c r="BJ295" s="16" t="s">
        <v>1559</v>
      </c>
      <c r="BK295" s="16"/>
      <c r="BL295" s="15"/>
      <c r="BM295" s="14"/>
      <c r="BN295" s="14"/>
      <c r="BO295" s="160"/>
      <c r="BP295" s="16"/>
      <c r="BQ295" s="12" t="str">
        <f t="shared" si="45"/>
        <v>Produção e Intervalo</v>
      </c>
      <c r="BR295" s="18">
        <f t="shared" si="46"/>
        <v>0</v>
      </c>
      <c r="BS295" s="18">
        <f t="shared" si="47"/>
        <v>0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>E46</v>
      </c>
      <c r="B298" s="352"/>
      <c r="C298" s="8" t="str">
        <f>IF(BS_CONTROLE[[#This Row],[DATA]]="","",WEEKNUM(BS_CONTROLE[[#This Row],[DATA]]))</f>
        <v/>
      </c>
      <c r="D298" s="51" t="s">
        <v>159</v>
      </c>
      <c r="E298" s="314">
        <v>300</v>
      </c>
      <c r="F298" s="167" t="s">
        <v>79</v>
      </c>
      <c r="G298" s="9" t="str">
        <f>IF(D298="","*",VLOOKUP(F298,BS_ATIVIDADE[#All],3,FALSE))</f>
        <v>TRILHEIRO - DESCARGA</v>
      </c>
      <c r="H298" s="168" t="s">
        <v>587</v>
      </c>
      <c r="I298" s="168" t="s">
        <v>587</v>
      </c>
      <c r="J298" s="212">
        <v>98</v>
      </c>
      <c r="K298" s="212">
        <v>563.93100000000004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8" s="168">
        <v>0.41666666666666669</v>
      </c>
      <c r="P298" s="168">
        <v>8.3333333333333329E-2</v>
      </c>
      <c r="Q298" s="83">
        <v>624</v>
      </c>
      <c r="R298" s="10" t="str">
        <f>IFERROR(_xlfn.XLOOKUP(F298, BS_ATIVIDADE[ATIVIDADE],BS_ATIVIDADE[UNIDADE] ), "*")</f>
        <v>M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8" s="80" t="str">
        <f>IFERROR(_xlfn.XLOOKUP(J298, BASE_MAPA!$E$2:$E$359, BASE_MAPA!$J$2:$J$359), "ERRO")</f>
        <v>ALTO ARAGUAIA - RONDONOPOLIS</v>
      </c>
      <c r="V298" s="193" t="s">
        <v>1254</v>
      </c>
      <c r="W298" s="168" t="s">
        <v>1537</v>
      </c>
      <c r="X298" s="213"/>
      <c r="Y298" s="153"/>
      <c r="Z298" s="153"/>
      <c r="AA298" s="83">
        <v>2</v>
      </c>
      <c r="AB298" s="70" t="s">
        <v>371</v>
      </c>
      <c r="AC298" s="70"/>
      <c r="AD298" s="168">
        <v>0.29166666666666669</v>
      </c>
      <c r="AE298" s="83"/>
      <c r="AF298" s="83"/>
      <c r="AG298" s="83"/>
      <c r="AH298" s="48"/>
      <c r="AI298" s="141" t="str">
        <f>IF(BS_CONTROLE[[#This Row],[Atividade]]=0, "-", BS_CONTROLE[[#This Row],[Atividade]])</f>
        <v>TRILHEIRO - DESCARGA</v>
      </c>
      <c r="AJ298" s="9" t="str">
        <f>IF(D298="","*",VLOOKUP(AI298,BS_ATIVIDADE[#Data],3,FALSE))</f>
        <v>TRILHEIRO - DESCARGA</v>
      </c>
      <c r="AK298" s="279" t="str">
        <f>IF(BS_CONTROLE[[#This Row],[Local - Partida]]=0, "-", BS_CONTROLE[[#This Row],[Local - Partida]])</f>
        <v>TIQ</v>
      </c>
      <c r="AL298" s="279" t="str">
        <f>IF(BS_CONTROLE[[#This Row],[Local - Encerramento]]=0, "-", BS_CONTROLE[[#This Row],[Local - Encerramento]])</f>
        <v>TIQ</v>
      </c>
      <c r="AM298" s="279" t="str">
        <f>IF(BS_CONTROLE[[#This Row],[Entre - Estações]]=0, "-", BS_CONTROLE[[#This Row],[Entre - Estações]])</f>
        <v>TEP</v>
      </c>
      <c r="AN298" s="279" t="str">
        <f>IF(BS_CONTROLE[[#This Row],[SB]]=0, "-", BS_CONTROLE[[#This Row],[SB]])</f>
        <v>TEP1</v>
      </c>
      <c r="AO298" s="280">
        <f>IF(BS_CONTROLE[[#This Row],[SUB]]=0, "-", BS_CONTROLE[[#This Row],[SUB]])</f>
        <v>98</v>
      </c>
      <c r="AP298" s="281">
        <f>IF(BS_CONTROLE[[#This Row],[KM - Inicio]]=0, "-", BS_CONTROLE[[#This Row],[KM - Inicio]])</f>
        <v>563.93100000000004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8" s="11" t="str">
        <f>IFERROR(_xlfn.XLOOKUP(AO298, BASE_MAPA!$E$2:$E$359, BASE_MAPA!$J$2:$J$359), "ERRO")</f>
        <v>ALTO ARAGUAIA - RONDONOPOLIS</v>
      </c>
      <c r="BF298" s="282" t="str">
        <f>IF(BS_CONTROLE[[#This Row],[Responsavel pelo boletim]]=0, "-", BS_CONTROLE[[#This Row],[Responsavel pelo boletim]])</f>
        <v>PCM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>W7046037</v>
      </c>
      <c r="B301" s="166">
        <v>46037</v>
      </c>
      <c r="C301" s="8">
        <f>IF(BS_CONTROLE[[#This Row],[DATA]]="","",WEEKNUM(BS_CONTROLE[[#This Row],[DATA]]))</f>
        <v>3</v>
      </c>
      <c r="D301" s="51" t="s">
        <v>249</v>
      </c>
      <c r="E301" s="314">
        <v>303</v>
      </c>
      <c r="F301" s="167" t="s">
        <v>187</v>
      </c>
      <c r="G301" s="9" t="str">
        <f>IF(D301="","*",VLOOKUP(F301,BS_ATIVIDADE[#All],3,FALSE))</f>
        <v>PEDRA</v>
      </c>
      <c r="H301" s="168" t="s">
        <v>1560</v>
      </c>
      <c r="I301" s="331" t="s">
        <v>618</v>
      </c>
      <c r="J301" s="212">
        <v>98</v>
      </c>
      <c r="K301" s="212">
        <v>718.3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01" s="168">
        <v>0.41666666666666669</v>
      </c>
      <c r="P301" s="168">
        <v>0.125</v>
      </c>
      <c r="Q301" s="83">
        <v>28</v>
      </c>
      <c r="R301" s="10" t="str">
        <f>IFERROR(_xlfn.XLOOKUP(F301, BS_ATIVIDADE[ATIVIDADE],BS_ATIVIDADE[UNIDADE] ), "*")</f>
        <v>VAGÕES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1561</v>
      </c>
      <c r="X301" s="213" t="s">
        <v>369</v>
      </c>
      <c r="Y301" s="153" t="s">
        <v>368</v>
      </c>
      <c r="Z301" s="153"/>
      <c r="AA301" s="83" t="s">
        <v>1562</v>
      </c>
      <c r="AB301" s="70" t="s">
        <v>366</v>
      </c>
      <c r="AC301" s="70"/>
      <c r="AD301" s="168"/>
      <c r="AE301" s="83"/>
      <c r="AF301" s="83"/>
      <c r="AG301" s="83"/>
      <c r="AH301" s="48"/>
      <c r="AI301" s="141" t="s">
        <v>25</v>
      </c>
      <c r="AJ301" s="9" t="str">
        <f>IF(D301="","*",VLOOKUP(AI301,BS_ATIVIDADE[#Data],3,FALSE))</f>
        <v>OUTROS</v>
      </c>
      <c r="AK301" s="279" t="str">
        <f>IF(BS_CONTROLE[[#This Row],[Local - Partida]]=0, "-", BS_CONTROLE[[#This Row],[Local - Partida]])</f>
        <v>TGR/TIQ2</v>
      </c>
      <c r="AL301" s="279" t="str">
        <f>IF(BS_CONTROLE[[#This Row],[Local - Encerramento]]=0, "-", BS_CONTROLE[[#This Row],[Local - Encerramento]])</f>
        <v>TRO</v>
      </c>
      <c r="AM301" s="279" t="str">
        <f>IF(BS_CONTROLE[[#This Row],[Entre - Estações]]=0, "-", BS_CONTROLE[[#This Row],[Entre - Estações]])</f>
        <v>TAL-TSF</v>
      </c>
      <c r="AN301" s="279" t="str">
        <f>IF(BS_CONTROLE[[#This Row],[SB]]=0, "-", BS_CONTROLE[[#This Row],[SB]])</f>
        <v>710TSF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718.3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BINÁRIO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 t="s">
        <v>1563</v>
      </c>
      <c r="BK301" s="16"/>
      <c r="BL301" s="15"/>
      <c r="BM301" s="14"/>
      <c r="BN301" s="14"/>
      <c r="BO301" s="160"/>
      <c r="BP301" s="16"/>
      <c r="BQ301" s="12" t="str">
        <f t="shared" si="45"/>
        <v>Produção e Intervalo</v>
      </c>
      <c r="BR301" s="18">
        <f t="shared" si="46"/>
        <v>0</v>
      </c>
      <c r="BS301" s="18">
        <f t="shared" si="47"/>
        <v>0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>A6046037</v>
      </c>
      <c r="B303" s="166">
        <v>46037</v>
      </c>
      <c r="C303" s="8">
        <f>IF(BS_CONTROLE[[#This Row],[DATA]]="","",WEEKNUM(BS_CONTROLE[[#This Row],[DATA]]))</f>
        <v>3</v>
      </c>
      <c r="D303" s="51" t="s">
        <v>107</v>
      </c>
      <c r="E303" s="315">
        <v>305</v>
      </c>
      <c r="F303" s="167" t="s">
        <v>33</v>
      </c>
      <c r="G303" s="9" t="str">
        <f>IF(D303="","*",VLOOKUP(F303,BS_ATIVIDADE[#All],3,FALSE))</f>
        <v>DETECÇÃO</v>
      </c>
      <c r="H303" s="168" t="s">
        <v>1133</v>
      </c>
      <c r="I303" s="168" t="s">
        <v>604</v>
      </c>
      <c r="J303" s="212">
        <v>98</v>
      </c>
      <c r="K303" s="212">
        <v>502</v>
      </c>
      <c r="L303" s="83" t="s">
        <v>11</v>
      </c>
      <c r="M303" s="199" t="s">
        <v>1564</v>
      </c>
      <c r="N303" s="199" t="s">
        <v>1565</v>
      </c>
      <c r="O303" s="168">
        <v>0.33333333333333331</v>
      </c>
      <c r="P303" s="168">
        <v>4.1666666666666664E-2</v>
      </c>
      <c r="Q303" s="83">
        <v>200</v>
      </c>
      <c r="R303" s="10" t="str">
        <f>IFERROR(_xlfn.XLOOKUP(F303, BS_ATIVIDADE[ATIVIDADE],BS_ATIVIDADE[UNIDADE] ), "*")</f>
        <v>KM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1284</v>
      </c>
      <c r="W303" s="168" t="s">
        <v>1290</v>
      </c>
      <c r="X303" s="213" t="s">
        <v>374</v>
      </c>
      <c r="Y303" s="153" t="s">
        <v>377</v>
      </c>
      <c r="Z303" s="153"/>
      <c r="AA303" s="83">
        <v>1</v>
      </c>
      <c r="AB303" s="70" t="s">
        <v>366</v>
      </c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DETECÇÃO - RONDA 7 DIAS</v>
      </c>
      <c r="AJ303" s="9" t="str">
        <f>IF(D303="","*",VLOOKUP(AI303,BS_ATIVIDADE[#Data],3,FALSE))</f>
        <v>DETECÇÃO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TAL</v>
      </c>
      <c r="AM303" s="279" t="str">
        <f>IF(BS_CONTROLE[[#This Row],[Entre - Estações]]=0, "-", BS_CONTROLE[[#This Row],[Entre - Estações]])</f>
        <v>TGR-TAL</v>
      </c>
      <c r="AN303" s="279" t="str">
        <f>IF(BS_CONTROLE[[#This Row],[SB]]=0, "-", BS_CONTROLE[[#This Row],[SB]])</f>
        <v>TGRTAL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KM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Herbert</v>
      </c>
      <c r="BG303" s="15"/>
      <c r="BH303" s="16"/>
      <c r="BI303" s="16"/>
      <c r="BJ303" s="16" t="s">
        <v>1566</v>
      </c>
      <c r="BK303" s="16"/>
      <c r="BL303" s="15"/>
      <c r="BM303" s="14"/>
      <c r="BN303" s="14"/>
      <c r="BO303" s="160"/>
      <c r="BP303" s="16"/>
      <c r="BQ303" s="12" t="str">
        <f t="shared" si="45"/>
        <v>Produção e Intervalo</v>
      </c>
      <c r="BR303" s="18">
        <f t="shared" si="46"/>
        <v>0</v>
      </c>
      <c r="BS303" s="18">
        <f t="shared" si="47"/>
        <v>0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>ELSON (TF-526)46037</v>
      </c>
      <c r="B305" s="166">
        <v>46037</v>
      </c>
      <c r="C305" s="8">
        <f>IF(BS_CONTROLE[[#This Row],[DATA]]="","",WEEKNUM(BS_CONTROLE[[#This Row],[DATA]]))</f>
        <v>3</v>
      </c>
      <c r="D305" s="51" t="s">
        <v>300</v>
      </c>
      <c r="E305" s="314">
        <v>307</v>
      </c>
      <c r="F305" s="167" t="s">
        <v>194</v>
      </c>
      <c r="G305" s="9" t="str">
        <f>IF(D305="","*",VLOOKUP(F305,BS_ATIVIDADE[#All],3,FALSE))</f>
        <v>SOLDA</v>
      </c>
      <c r="H305" s="168" t="s">
        <v>1118</v>
      </c>
      <c r="I305" s="168" t="s">
        <v>11</v>
      </c>
      <c r="J305" s="212">
        <v>74</v>
      </c>
      <c r="K305" s="212">
        <v>431.2</v>
      </c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305" s="168">
        <v>0.375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1245</v>
      </c>
      <c r="W305" s="168" t="s">
        <v>1309</v>
      </c>
      <c r="X305" s="213" t="s">
        <v>374</v>
      </c>
      <c r="Y305" s="153" t="s">
        <v>377</v>
      </c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TPC440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TPC-TVL</v>
      </c>
      <c r="AN305" s="279" t="str">
        <f>IF(BS_CONTROLE[[#This Row],[SB]]=0, "-", BS_CONTROLE[[#This Row],[SB]])</f>
        <v>TPC440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431.2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Silmara</v>
      </c>
      <c r="BG305" s="15"/>
      <c r="BH305" s="16"/>
      <c r="BI305" s="16"/>
      <c r="BJ305" s="16" t="s">
        <v>1567</v>
      </c>
      <c r="BK305" s="16"/>
      <c r="BL305" s="15"/>
      <c r="BM305" s="14"/>
      <c r="BN305" s="14"/>
      <c r="BO305" s="160"/>
      <c r="BP305" s="16"/>
      <c r="BQ305" s="12" t="str">
        <f t="shared" si="45"/>
        <v>Produção e Intervalo</v>
      </c>
      <c r="BR305" s="18">
        <f t="shared" si="46"/>
        <v>0</v>
      </c>
      <c r="BS305" s="18">
        <f t="shared" si="47"/>
        <v>0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>V6646037</v>
      </c>
      <c r="B309" s="166">
        <v>46037</v>
      </c>
      <c r="C309" s="8">
        <f>IF(BS_CONTROLE[[#This Row],[DATA]]="","",WEEKNUM(BS_CONTROLE[[#This Row],[DATA]]))</f>
        <v>3</v>
      </c>
      <c r="D309" s="51" t="s">
        <v>190</v>
      </c>
      <c r="E309" s="314">
        <v>311</v>
      </c>
      <c r="F309" s="167" t="s">
        <v>236</v>
      </c>
      <c r="G309" s="9" t="str">
        <f>IF(D309="","*",VLOOKUP(F309,BS_ATIVIDADE[#All],3,FALSE))</f>
        <v>MODERNIZAÇÃO</v>
      </c>
      <c r="H309" s="168" t="s">
        <v>786</v>
      </c>
      <c r="I309" s="168" t="s">
        <v>786</v>
      </c>
      <c r="J309" s="212">
        <v>74</v>
      </c>
      <c r="K309" s="212">
        <v>165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309" s="168">
        <v>0.375</v>
      </c>
      <c r="P309" s="168">
        <v>0.125</v>
      </c>
      <c r="Q309" s="83">
        <v>500</v>
      </c>
      <c r="R309" s="10" t="str">
        <f>IFERROR(_xlfn.XLOOKUP(F309, BS_ATIVIDADE[ATIVIDADE],BS_ATIVIDADE[UNIDADE] ), "*")</f>
        <v>M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9" s="80" t="str">
        <f>IFERROR(_xlfn.XLOOKUP(J309, BASE_MAPA!$E$2:$E$359, BASE_MAPA!$J$2:$J$359), "ERRO")</f>
        <v>MARCO INICIAL - ALTO ARAGUAIA</v>
      </c>
      <c r="V309" s="193" t="s">
        <v>1321</v>
      </c>
      <c r="W309" s="168" t="s">
        <v>1474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MODERNIZAÇÃO - REGULAGEM</v>
      </c>
      <c r="AJ309" s="9" t="str">
        <f>IF(D309="","*",VLOOKUP(AI309,BS_ATIVIDADE[#Data],3,FALSE))</f>
        <v>MODERNIZAÇÃO</v>
      </c>
      <c r="AK309" s="279" t="str">
        <f>IF(BS_CONTROLE[[#This Row],[Local - Partida]]=0, "-", BS_CONTROLE[[#This Row],[Local - Partida]])</f>
        <v>TID</v>
      </c>
      <c r="AL309" s="279" t="str">
        <f>IF(BS_CONTROLE[[#This Row],[Local - Encerramento]]=0, "-", BS_CONTROLE[[#This Row],[Local - Encerramento]])</f>
        <v>TID</v>
      </c>
      <c r="AM309" s="279" t="str">
        <f>IF(BS_CONTROLE[[#This Row],[Entre - Estações]]=0, "-", BS_CONTROLE[[#This Row],[Entre - Estações]])</f>
        <v>TCE</v>
      </c>
      <c r="AN309" s="279" t="str">
        <f>IF(BS_CONTROLE[[#This Row],[SB]]=0, "-", BS_CONTROLE[[#This Row],[SB]])</f>
        <v>TCE1</v>
      </c>
      <c r="AO309" s="280">
        <f>IF(BS_CONTROLE[[#This Row],[SUB]]=0, "-", BS_CONTROLE[[#This Row],[SUB]])</f>
        <v>74</v>
      </c>
      <c r="AP309" s="281">
        <f>IF(BS_CONTROLE[[#This Row],[KM - Inicio]]=0, "-", BS_CONTROLE[[#This Row],[KM - Inicio]])</f>
        <v>165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9" s="11" t="str">
        <f>IFERROR(_xlfn.XLOOKUP(AO309, BASE_MAPA!$E$2:$E$359, BASE_MAPA!$J$2:$J$359), "ERRO")</f>
        <v>MARCO INICIAL - ALTO ARAGUAIA</v>
      </c>
      <c r="BF309" s="282" t="str">
        <f>IF(BS_CONTROLE[[#This Row],[Responsavel pelo boletim]]=0, "-", BS_CONTROLE[[#This Row],[Responsavel pelo boletim]])</f>
        <v>Augusto</v>
      </c>
      <c r="BG309" s="15"/>
      <c r="BH309" s="16"/>
      <c r="BI309" s="16"/>
      <c r="BJ309" s="16" t="s">
        <v>1568</v>
      </c>
      <c r="BK309" s="16"/>
      <c r="BL309" s="15"/>
      <c r="BM309" s="14"/>
      <c r="BN309" s="14"/>
      <c r="BO309" s="160"/>
      <c r="BP309" s="16"/>
      <c r="BQ309" s="12" t="str">
        <f t="shared" si="45"/>
        <v>Produção e Intervalo</v>
      </c>
      <c r="BR309" s="18">
        <f t="shared" si="46"/>
        <v>0</v>
      </c>
      <c r="BS309" s="18">
        <f t="shared" si="47"/>
        <v>0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>MARCOS (TF-520)46037</v>
      </c>
      <c r="B312" s="166">
        <v>46037</v>
      </c>
      <c r="C312" s="8">
        <f>IF(BS_CONTROLE[[#This Row],[DATA]]="","",WEEKNUM(BS_CONTROLE[[#This Row],[DATA]]))</f>
        <v>3</v>
      </c>
      <c r="D312" s="51" t="s">
        <v>330</v>
      </c>
      <c r="E312" s="314">
        <v>314</v>
      </c>
      <c r="F312" s="167" t="s">
        <v>194</v>
      </c>
      <c r="G312" s="9" t="str">
        <f>IF(D312="","*",VLOOKUP(F312,BS_ATIVIDADE[#All],3,FALSE))</f>
        <v>SOLDA</v>
      </c>
      <c r="H312" s="168" t="s">
        <v>721</v>
      </c>
      <c r="I312" s="168" t="s">
        <v>11</v>
      </c>
      <c r="J312" s="212">
        <v>74</v>
      </c>
      <c r="K312" s="212">
        <v>80.3</v>
      </c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312" s="168">
        <v>0.375</v>
      </c>
      <c r="P312" s="168">
        <v>8.3333333333333329E-2</v>
      </c>
      <c r="Q312" s="83">
        <v>2</v>
      </c>
      <c r="R312" s="10" t="str">
        <f>IFERROR(_xlfn.XLOOKUP(F312, BS_ATIVIDADE[ATIVIDADE],BS_ATIVIDADE[UNIDADE] ), "*")</f>
        <v>Nº DE SOLDA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2" s="80" t="str">
        <f>IFERROR(_xlfn.XLOOKUP(J312, BASE_MAPA!$E$2:$E$359, BASE_MAPA!$J$2:$J$359), "ERRO")</f>
        <v>MARCO INICIAL - ALTO ARAGUAIA</v>
      </c>
      <c r="V312" s="193" t="s">
        <v>1284</v>
      </c>
      <c r="W312" s="168" t="s">
        <v>1309</v>
      </c>
      <c r="X312" s="213" t="s">
        <v>374</v>
      </c>
      <c r="Y312" s="153" t="s">
        <v>377</v>
      </c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9" t="str">
        <f>IF(BS_CONTROLE[[#This Row],[Local - Partida]]=0, "-", BS_CONTROLE[[#This Row],[Local - Partida]])</f>
        <v>K73TSP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TQI-TSP</v>
      </c>
      <c r="AN312" s="279" t="str">
        <f>IF(BS_CONTROLE[[#This Row],[SB]]=0, "-", BS_CONTROLE[[#This Row],[SB]])</f>
        <v>K73TSP</v>
      </c>
      <c r="AO312" s="280">
        <f>IF(BS_CONTROLE[[#This Row],[SUB]]=0, "-", BS_CONTROLE[[#This Row],[SUB]])</f>
        <v>74</v>
      </c>
      <c r="AP312" s="281">
        <f>IF(BS_CONTROLE[[#This Row],[KM - Inicio]]=0, "-", BS_CONTROLE[[#This Row],[KM - Inicio]])</f>
        <v>80.3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2" s="11" t="str">
        <f>IFERROR(_xlfn.XLOOKUP(AO312, BASE_MAPA!$E$2:$E$359, BASE_MAPA!$J$2:$J$359), "ERRO")</f>
        <v>MARCO INICIAL - ALTO ARAGUAIA</v>
      </c>
      <c r="BF312" s="282" t="str">
        <f>IF(BS_CONTROLE[[#This Row],[Responsavel pelo boletim]]=0, "-", BS_CONTROLE[[#This Row],[Responsavel pelo boletim]])</f>
        <v>Herbert</v>
      </c>
      <c r="BG312" s="15"/>
      <c r="BH312" s="16"/>
      <c r="BI312" s="16"/>
      <c r="BJ312" s="16" t="s">
        <v>1567</v>
      </c>
      <c r="BK312" s="16"/>
      <c r="BL312" s="15"/>
      <c r="BM312" s="14"/>
      <c r="BN312" s="14"/>
      <c r="BO312" s="160"/>
      <c r="BP312" s="16"/>
      <c r="BQ312" s="12" t="str">
        <f t="shared" si="45"/>
        <v>Produção e Intervalo</v>
      </c>
      <c r="BR312" s="18">
        <f t="shared" si="46"/>
        <v>0</v>
      </c>
      <c r="BS312" s="18">
        <f t="shared" si="47"/>
        <v>0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>A8846037</v>
      </c>
      <c r="B319" s="166">
        <v>46037</v>
      </c>
      <c r="C319" s="8">
        <f>IF(BS_CONTROLE[[#This Row],[DATA]]="","",WEEKNUM(BS_CONTROLE[[#This Row],[DATA]]))</f>
        <v>3</v>
      </c>
      <c r="D319" s="51" t="s">
        <v>144</v>
      </c>
      <c r="E319" s="314">
        <v>321</v>
      </c>
      <c r="F319" s="167" t="s">
        <v>85</v>
      </c>
      <c r="G319" s="9" t="str">
        <f>IF(D319="","*",VLOOKUP(F319,BS_ATIVIDADE[#All],3,FALSE))</f>
        <v>OUTROS</v>
      </c>
      <c r="H319" s="168" t="s">
        <v>974</v>
      </c>
      <c r="I319" s="168" t="s">
        <v>994</v>
      </c>
      <c r="J319" s="212">
        <v>78</v>
      </c>
      <c r="K319" s="212">
        <v>189.45</v>
      </c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19" s="168">
        <v>0.375</v>
      </c>
      <c r="P319" s="168">
        <v>4.1666666666666664E-2</v>
      </c>
      <c r="Q319" s="83">
        <v>1</v>
      </c>
      <c r="R319" s="10" t="str">
        <f>IFERROR(_xlfn.XLOOKUP(F319, BS_ATIVIDADE[ATIVIDADE],BS_ATIVIDADE[UNIDADE] ), "*")</f>
        <v>BINÁRIO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80" t="str">
        <f>IFERROR(_xlfn.XLOOKUP(J319, BASE_MAPA!$E$2:$E$359, BASE_MAPA!$J$2:$J$359), "ERRO")</f>
        <v>ITIRAPINA - BAURU</v>
      </c>
      <c r="V319" s="193" t="s">
        <v>1556</v>
      </c>
      <c r="W319" s="168" t="s">
        <v>1569</v>
      </c>
      <c r="X319" s="213" t="s">
        <v>374</v>
      </c>
      <c r="Y319" s="153" t="s">
        <v>377</v>
      </c>
      <c r="Z319" s="153"/>
      <c r="AA319" s="83">
        <v>1</v>
      </c>
      <c r="AB319" s="70" t="s">
        <v>366</v>
      </c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INSPEÇÃO AUTO DE LINHA</v>
      </c>
      <c r="AJ319" s="9" t="str">
        <f>IF(D319="","*",VLOOKUP(AI319,BS_ATIVIDADE[#Data],3,FALSE))</f>
        <v>OUTROS</v>
      </c>
      <c r="AK319" s="279" t="str">
        <f>IF(BS_CONTROLE[[#This Row],[Local - Partida]]=0, "-", BS_CONTROLE[[#This Row],[Local - Partida]])</f>
        <v>ZFH2</v>
      </c>
      <c r="AL319" s="279" t="str">
        <f>IF(BS_CONTROLE[[#This Row],[Local - Encerramento]]=0, "-", BS_CONTROLE[[#This Row],[Local - Encerramento]])</f>
        <v>ZTR</v>
      </c>
      <c r="AM319" s="279" t="str">
        <f>IF(BS_CONTROLE[[#This Row],[Entre - Estações]]=0, "-", BS_CONTROLE[[#This Row],[Entre - Estações]])</f>
        <v>ZQY-ZFH</v>
      </c>
      <c r="AN319" s="279" t="str">
        <f>IF(BS_CONTROLE[[#This Row],[SB]]=0, "-", BS_CONTROLE[[#This Row],[SB]])</f>
        <v>ZQYZFH</v>
      </c>
      <c r="AO319" s="280">
        <f>IF(BS_CONTROLE[[#This Row],[SUB]]=0, "-", BS_CONTROLE[[#This Row],[SUB]])</f>
        <v>78</v>
      </c>
      <c r="AP319" s="281">
        <f>IF(BS_CONTROLE[[#This Row],[KM - Inicio]]=0, "-", BS_CONTROLE[[#This Row],[KM - Inicio]])</f>
        <v>189.45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BINÁRIO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1" t="str">
        <f>IFERROR(_xlfn.XLOOKUP(AO319, BASE_MAPA!$E$2:$E$359, BASE_MAPA!$J$2:$J$359), "ERRO")</f>
        <v>ITIRAPINA - BAURU</v>
      </c>
      <c r="BF319" s="282" t="str">
        <f>IF(BS_CONTROLE[[#This Row],[Responsavel pelo boletim]]=0, "-", BS_CONTROLE[[#This Row],[Responsavel pelo boletim]])</f>
        <v>Paulo</v>
      </c>
      <c r="BG319" s="15"/>
      <c r="BH319" s="16"/>
      <c r="BI319" s="16"/>
      <c r="BJ319" s="16" t="s">
        <v>1568</v>
      </c>
      <c r="BK319" s="16"/>
      <c r="BL319" s="15"/>
      <c r="BM319" s="14"/>
      <c r="BN319" s="14"/>
      <c r="BO319" s="160"/>
      <c r="BP319" s="16"/>
      <c r="BQ319" s="12" t="str">
        <f t="shared" si="45"/>
        <v>Produção e Intervalo</v>
      </c>
      <c r="BR319" s="18">
        <f t="shared" si="46"/>
        <v>0</v>
      </c>
      <c r="BS319" s="18">
        <f t="shared" si="47"/>
        <v>0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>E48</v>
      </c>
      <c r="B322" s="352"/>
      <c r="C322" s="8" t="str">
        <f>IF(BS_CONTROLE[[#This Row],[DATA]]="","",WEEKNUM(BS_CONTROLE[[#This Row],[DATA]]))</f>
        <v/>
      </c>
      <c r="D322" s="51" t="s">
        <v>1510</v>
      </c>
      <c r="E322" s="314">
        <v>324</v>
      </c>
      <c r="F322" s="167" t="s">
        <v>25</v>
      </c>
      <c r="G322" s="9" t="str">
        <f>IF(D322="","*",VLOOKUP(F322,BS_ATIVIDADE[#All],3,FALSE))</f>
        <v>OUTROS</v>
      </c>
      <c r="H322" s="168" t="s">
        <v>1058</v>
      </c>
      <c r="I322" s="168" t="s">
        <v>1511</v>
      </c>
      <c r="J322" s="212">
        <v>78</v>
      </c>
      <c r="K322" s="212">
        <v>334</v>
      </c>
      <c r="L322" s="83" t="s">
        <v>11</v>
      </c>
      <c r="M322" s="199" t="s">
        <v>1512</v>
      </c>
      <c r="N322" s="199" t="s">
        <v>1512</v>
      </c>
      <c r="O322" s="168">
        <v>0.45833333333333331</v>
      </c>
      <c r="P322" s="168">
        <v>4.1666666666666664E-2</v>
      </c>
      <c r="Q322" s="83">
        <v>1</v>
      </c>
      <c r="R322" s="10" t="s">
        <v>9</v>
      </c>
      <c r="S322" s="284" t="s">
        <v>623</v>
      </c>
      <c r="T322" s="284" t="s">
        <v>922</v>
      </c>
      <c r="U322" s="80" t="s">
        <v>967</v>
      </c>
      <c r="V322" s="193" t="s">
        <v>1254</v>
      </c>
      <c r="W322" s="168" t="s">
        <v>1513</v>
      </c>
      <c r="X322" s="213" t="s">
        <v>374</v>
      </c>
      <c r="Y322" s="153" t="s">
        <v>377</v>
      </c>
      <c r="Z322" s="153"/>
      <c r="AA322" s="83" t="s">
        <v>1256</v>
      </c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9" t="str">
        <f>IF(BS_CONTROLE[[#This Row],[Local - Partida]]=0, "-", BS_CONTROLE[[#This Row],[Local - Partida]])</f>
        <v>ZTP</v>
      </c>
      <c r="AL322" s="279" t="str">
        <f>IF(BS_CONTROLE[[#This Row],[Local - Encerramento]]=0, "-", BS_CONTROLE[[#This Row],[Local - Encerramento]])</f>
        <v>ZPG</v>
      </c>
      <c r="AM322" s="279" t="str">
        <f>IF(BS_CONTROLE[[#This Row],[Entre - Estações]]=0, "-", BS_CONTROLE[[#This Row],[Entre - Estações]])</f>
        <v>ZTP-ZPG</v>
      </c>
      <c r="AN322" s="279" t="str">
        <f>IF(BS_CONTROLE[[#This Row],[SB]]=0, "-", BS_CONTROLE[[#This Row],[SB]])</f>
        <v>ZTP-ZPG</v>
      </c>
      <c r="AO322" s="280">
        <f>IF(BS_CONTROLE[[#This Row],[SUB]]=0, "-", BS_CONTROLE[[#This Row],[SUB]])</f>
        <v>78</v>
      </c>
      <c r="AP322" s="281">
        <f>IF(BS_CONTROLE[[#This Row],[KM - Inicio]]=0, "-", BS_CONTROLE[[#This Row],[KM - Inicio]])</f>
        <v>334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ITIRAPINA - BAURU</v>
      </c>
      <c r="BF322" s="282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>
        <v>78</v>
      </c>
      <c r="K325" s="212">
        <v>208.5</v>
      </c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5" s="80" t="str">
        <f>IFERROR(_xlfn.XLOOKUP(J325, BASE_MAPA!$E$2:$E$359, BASE_MAPA!$J$2:$J$359), "ERRO")</f>
        <v>ITIRAPINA - BAURU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ZBO-ZEP</v>
      </c>
      <c r="AN325" s="279" t="str">
        <f>IF(BS_CONTROLE[[#This Row],[SB]]=0, "-", BS_CONTROLE[[#This Row],[SB]])</f>
        <v>ZBOZEP</v>
      </c>
      <c r="AO325" s="280">
        <f>IF(BS_CONTROLE[[#This Row],[SUB]]=0, "-", BS_CONTROLE[[#This Row],[SUB]])</f>
        <v>78</v>
      </c>
      <c r="AP325" s="281">
        <f>IF(BS_CONTROLE[[#This Row],[KM - Inicio]]=0, "-", BS_CONTROLE[[#This Row],[KM - Inicio]])</f>
        <v>208.5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5" s="11" t="str">
        <f>IFERROR(_xlfn.XLOOKUP(AO325, BASE_MAPA!$E$2:$E$359, BASE_MAPA!$J$2:$J$359), "ERRO")</f>
        <v>ITIRAPINA - BAURU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 BK267 BK286 BK263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262 BK124:BK194 BK268:BK285 BK264:BK266 BK287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1" t="s">
        <v>1570</v>
      </c>
      <c r="D1" s="381"/>
      <c r="E1" s="381"/>
      <c r="F1" s="381"/>
      <c r="G1" s="381"/>
      <c r="H1" s="381"/>
    </row>
    <row r="2" spans="3:8">
      <c r="C2" s="381"/>
      <c r="D2" s="381"/>
      <c r="E2" s="381"/>
      <c r="F2" s="381"/>
      <c r="G2" s="381"/>
      <c r="H2" s="381"/>
    </row>
    <row r="3" spans="3:8">
      <c r="C3" s="316" t="s">
        <v>105</v>
      </c>
      <c r="D3" s="316" t="s">
        <v>1571</v>
      </c>
      <c r="E3" s="316" t="s">
        <v>1572</v>
      </c>
      <c r="F3" s="316" t="s">
        <v>1573</v>
      </c>
      <c r="G3" s="316" t="s">
        <v>1574</v>
      </c>
      <c r="H3" s="316" t="s">
        <v>1575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1576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1577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04" sqref="A3004:L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2"/>
      <c r="B1" s="383"/>
      <c r="C1" s="384"/>
      <c r="L1" s="326"/>
      <c r="M1" s="123"/>
      <c r="N1" s="289"/>
      <c r="O1" s="289"/>
      <c r="P1" s="165"/>
      <c r="Q1" s="385" t="s">
        <v>1225</v>
      </c>
      <c r="R1" s="386"/>
      <c r="U1" s="101"/>
      <c r="V1" s="387" t="s">
        <v>1578</v>
      </c>
      <c r="W1" s="387"/>
      <c r="X1" s="387"/>
      <c r="Y1" s="103"/>
    </row>
    <row r="2" spans="1:25" s="100" customFormat="1" ht="11.25" customHeight="1">
      <c r="A2" s="104" t="s">
        <v>1579</v>
      </c>
      <c r="B2" s="104" t="s">
        <v>1580</v>
      </c>
      <c r="C2" s="104" t="s">
        <v>7</v>
      </c>
      <c r="D2" s="105" t="s">
        <v>1177</v>
      </c>
      <c r="E2" s="105" t="s">
        <v>1178</v>
      </c>
      <c r="F2" s="105" t="s">
        <v>1581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1582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2215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2215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2215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1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>
        <f ca="1">_xlfn.XLOOKUP(G243&amp;$V$2,BS_CONTROLE[CHAVE],BS_CONTROLE[Quantidade_11],"-")</f>
        <v>2215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DESLOCAMENTO</v>
      </c>
      <c r="I264" s="109" t="str">
        <f>IF(FN_MC!H263="","*",FN_MC!H263)</f>
        <v>RVD</v>
      </c>
      <c r="J264" s="109" t="str">
        <f>IF(FN_MC!I263="","*",FN_MC!I263)</f>
        <v>TIQ</v>
      </c>
      <c r="K264" s="109" t="str">
        <f>IF(FN_MC!M263="","*",FN_MC!M263)</f>
        <v>RVD-TIQ</v>
      </c>
      <c r="L264" s="328" t="str">
        <f>IF(FN_MC!N263="","*",FN_MC!N263)</f>
        <v>RVDTIQ</v>
      </c>
      <c r="M264" s="110">
        <f>IF(FN_MC!J263="","*",FN_MC!J263)</f>
        <v>98</v>
      </c>
      <c r="N264" s="291">
        <f>IF(FN_MC!K263="","*",FN_MC!K263)</f>
        <v>754</v>
      </c>
      <c r="O264" s="291">
        <f>IF(FN_MC!L263="","*",FN_MC!L263)</f>
        <v>616.65</v>
      </c>
      <c r="P264" s="110"/>
      <c r="Q264" s="127">
        <f>IF(FN_MC!O263="","*",FN_MC!O263)</f>
        <v>0.41666666666666669</v>
      </c>
      <c r="R264" s="127">
        <f>IF(FN_MC!P263="","*",FN_MC!P263)</f>
        <v>4.1666666666666664E-2</v>
      </c>
      <c r="S264" s="109" t="str">
        <f>IF(FN_MC!Q263="","*",CONCATENATE(FN_MC!Q263," ",FN_MC!R263))</f>
        <v>1 BINÁRIO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1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 t="str">
        <f>IF(FN_MC!B267="","*",FN_MC!B267)</f>
        <v>*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200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>
        <f ca="1">_xlfn.XLOOKUP(G276&amp;$V$2,BS_CONTROLE[CHAVE],BS_CONTROLE[Quantidade_11],"-")</f>
        <v>2215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Oportunidade</v>
      </c>
      <c r="C289" s="108" t="str">
        <f>IF(FN_MC!Z288="","*",FN_MC!Z288)</f>
        <v>*</v>
      </c>
      <c r="D289" s="109" t="str">
        <f>IF(FN_MC!S288="","*",FN_MC!S288)</f>
        <v>MALHA CENTRAL</v>
      </c>
      <c r="E289" s="109" t="str">
        <f>IF(FN_MC!T288="","*",FN_MC!T288)</f>
        <v>PRV-POV</v>
      </c>
      <c r="F289" s="109" t="str">
        <f>IF(FN_MC!B288="","*",FN_MC!B288)</f>
        <v>*</v>
      </c>
      <c r="G289" s="109" t="str">
        <f>IF(FN_MC!D288="","*",FN_MC!D288)</f>
        <v>E14</v>
      </c>
      <c r="H289" s="109" t="str">
        <f>IF(FN_MC!F288="","*",FN_MC!F288)</f>
        <v>MECANIZAÇÃO - ESMERILHADORA</v>
      </c>
      <c r="I289" s="109" t="str">
        <f>IF(FN_MC!H288="","*",FN_MC!H288)</f>
        <v>PUD</v>
      </c>
      <c r="J289" s="109" t="str">
        <f>IF(FN_MC!I288="","*",FN_MC!I288)</f>
        <v>PSS</v>
      </c>
      <c r="K289" s="109" t="str">
        <f>IF(FN_MC!M288="","*",FN_MC!M288)</f>
        <v>PUD-K57</v>
      </c>
      <c r="L289" s="328" t="str">
        <f>IF(FN_MC!N288="","*",FN_MC!N288)</f>
        <v>PUDK56</v>
      </c>
      <c r="M289" s="110">
        <f>IF(FN_MC!J288="","*",FN_MC!J288)</f>
        <v>103</v>
      </c>
      <c r="N289" s="291">
        <f>IF(FN_MC!K288="","*",FN_MC!K288)</f>
        <v>2075</v>
      </c>
      <c r="O289" s="291">
        <f>IF(FN_MC!L288="","*",FN_MC!L288)</f>
        <v>2029</v>
      </c>
      <c r="P289" s="110"/>
      <c r="Q289" s="127">
        <f>IF(FN_MC!O288="","*",FN_MC!O288)</f>
        <v>0.99930555555555556</v>
      </c>
      <c r="R289" s="127">
        <f>IF(FN_MC!P288="","*",FN_MC!P288)</f>
        <v>4.1666666666666664E-2</v>
      </c>
      <c r="S289" s="109" t="str">
        <f>IF(FN_MC!Q288="","*",CONCATENATE(FN_MC!Q288," ",FN_MC!R288))</f>
        <v>20000 M</v>
      </c>
      <c r="T289" s="109" t="str">
        <f>IF(FN_MC!V288="","*",FN_MC!V288)</f>
        <v>Fernanda</v>
      </c>
      <c r="U289" s="109" t="str">
        <f>IF(FN_MC!W288="","*",FN_MC!W288)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OPORTUNIDADE</v>
      </c>
      <c r="B292" s="108" t="str">
        <f>IF(FN_MC!X291="","*",FN_MC!X291)</f>
        <v>Oportunidade</v>
      </c>
      <c r="C292" s="108" t="str">
        <f>IF(FN_MC!Z291="","*",FN_MC!Z291)</f>
        <v>*</v>
      </c>
      <c r="D292" s="109" t="str">
        <f>IF(FN_MC!S291="","*",FN_MC!S291)</f>
        <v>MALHA CENTRAL</v>
      </c>
      <c r="E292" s="109" t="str">
        <f>IF(FN_MC!T291="","*",FN_MC!T291)</f>
        <v>RAMAL</v>
      </c>
      <c r="F292" s="109" t="str">
        <f>IF(FN_MC!B291="","*",FN_MC!B291)</f>
        <v>*</v>
      </c>
      <c r="G292" s="109" t="str">
        <f>IF(FN_MC!D291="","*",FN_MC!D291)</f>
        <v>E48</v>
      </c>
      <c r="H292" s="109" t="str">
        <f>IF(FN_MC!F291="","*",FN_MC!F291)</f>
        <v>DESLOCAMENTO</v>
      </c>
      <c r="I292" s="109" t="str">
        <f>IF(FN_MC!H291="","*",FN_MC!H291)</f>
        <v>ZTP</v>
      </c>
      <c r="J292" s="109" t="str">
        <f>IF(FN_MC!I291="","*",FN_MC!I291)</f>
        <v>ZPG</v>
      </c>
      <c r="K292" s="109" t="str">
        <f>IF(FN_MC!M291="","*",FN_MC!M291)</f>
        <v>ZTP-ZPG</v>
      </c>
      <c r="L292" s="328" t="str">
        <f>IF(FN_MC!N291="","*",FN_MC!N291)</f>
        <v>ZTP-ZPG</v>
      </c>
      <c r="M292" s="110">
        <f>IF(FN_MC!J291="","*",FN_MC!J291)</f>
        <v>78</v>
      </c>
      <c r="N292" s="291">
        <f>IF(FN_MC!K291="","*",FN_MC!K291)</f>
        <v>334</v>
      </c>
      <c r="O292" s="291" t="str">
        <f>IF(FN_MC!L291="","*",FN_MC!L291)</f>
        <v>-</v>
      </c>
      <c r="P292" s="110"/>
      <c r="Q292" s="127">
        <f>IF(FN_MC!O291="","*",FN_MC!O291)</f>
        <v>0.45833333333333331</v>
      </c>
      <c r="R292" s="127">
        <f>IF(FN_MC!P291="","*",FN_MC!P291)</f>
        <v>4.1666666666666664E-2</v>
      </c>
      <c r="S292" s="109" t="str">
        <f>IF(FN_MC!Q291="","*",CONCATENATE(FN_MC!Q291," ",FN_MC!R291))</f>
        <v>1 BINÁRIO</v>
      </c>
      <c r="T292" s="109" t="str">
        <f>IF(FN_MC!V291="","*",FN_MC!V291)</f>
        <v>PCM</v>
      </c>
      <c r="U292" s="109" t="str">
        <f>IF(FN_MC!W291="","*",FN_MC!W291)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IF(FN_MC!Y295="","*",FN_MC!Y295)</f>
        <v>SIM</v>
      </c>
      <c r="B296" s="108" t="str">
        <f>IF(FN_MC!X295="","*",FN_MC!X295)</f>
        <v>Contrato</v>
      </c>
      <c r="C296" s="108" t="str">
        <f>IF(FN_MC!Z295="","*",FN_MC!Z295)</f>
        <v>*</v>
      </c>
      <c r="D296" s="109" t="str">
        <f>IF(FN_MC!S295="","*",FN_MC!S295)</f>
        <v>FERRONORTE</v>
      </c>
      <c r="E296" s="109" t="str">
        <f>IF(FN_MC!T295="","*",FN_MC!T295)</f>
        <v>TGR-TRO</v>
      </c>
      <c r="F296" s="109">
        <f>IF(FN_MC!B295="","*",FN_MC!B295)</f>
        <v>46037</v>
      </c>
      <c r="G296" s="109" t="str">
        <f>IF(FN_MC!D295="","*",FN_MC!D295)</f>
        <v>V86</v>
      </c>
      <c r="H296" s="109" t="str">
        <f>IF(FN_MC!F295="","*",FN_MC!F295)</f>
        <v>MECANIZAÇÃO - SOCADORA</v>
      </c>
      <c r="I296" s="109" t="str">
        <f>IF(FN_MC!H295="","*",FN_MC!H295)</f>
        <v>TSF1</v>
      </c>
      <c r="J296" s="109" t="str">
        <f>IF(FN_MC!I295="","*",FN_MC!I295)</f>
        <v>TSF1</v>
      </c>
      <c r="K296" s="109" t="str">
        <f>IF(FN_MC!M295="","*",FN_MC!M295)</f>
        <v>TSF-TRO</v>
      </c>
      <c r="L296" s="328" t="str">
        <f>IF(FN_MC!N295="","*",FN_MC!N295)</f>
        <v>744TEX</v>
      </c>
      <c r="M296" s="110">
        <f>IF(FN_MC!J295="","*",FN_MC!J295)</f>
        <v>98</v>
      </c>
      <c r="N296" s="291">
        <f>IF(FN_MC!K295="","*",FN_MC!K295)</f>
        <v>746</v>
      </c>
      <c r="O296" s="291" t="str">
        <f>IF(FN_MC!L295="","*",FN_MC!L295)</f>
        <v>-</v>
      </c>
      <c r="P296" s="110"/>
      <c r="Q296" s="127">
        <f>IF(FN_MC!O295="","*",FN_MC!O295)</f>
        <v>0.4375</v>
      </c>
      <c r="R296" s="127">
        <f>IF(FN_MC!P295="","*",FN_MC!P295)</f>
        <v>0.25</v>
      </c>
      <c r="S296" s="109" t="str">
        <f>IF(FN_MC!Q295="","*",CONCATENATE(FN_MC!Q295," ",FN_MC!R295))</f>
        <v>3360 M</v>
      </c>
      <c r="T296" s="109" t="str">
        <f>IF(FN_MC!V295="","*",FN_MC!V295)</f>
        <v>Antonioni</v>
      </c>
      <c r="U296" s="109" t="str">
        <f>IF(FN_MC!W295="","*",FN_MC!W295)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FERRONORTE</v>
      </c>
      <c r="E299" s="109" t="str">
        <f>IF(FN_MC!T298="","*",FN_MC!T298)</f>
        <v>TGR-TRO</v>
      </c>
      <c r="F299" s="109" t="str">
        <f>IF(FN_MC!B298="","*",FN_MC!B298)</f>
        <v>*</v>
      </c>
      <c r="G299" s="109" t="str">
        <f>IF(FN_MC!D298="","*",FN_MC!D298)</f>
        <v>E46</v>
      </c>
      <c r="H299" s="109" t="str">
        <f>IF(FN_MC!F298="","*",FN_MC!F298)</f>
        <v>TRILHEIRO - DESCARGA</v>
      </c>
      <c r="I299" s="109" t="str">
        <f>IF(FN_MC!H298="","*",FN_MC!H298)</f>
        <v>TIQ</v>
      </c>
      <c r="J299" s="109" t="str">
        <f>IF(FN_MC!I298="","*",FN_MC!I298)</f>
        <v>TIQ</v>
      </c>
      <c r="K299" s="109" t="str">
        <f>IF(FN_MC!M298="","*",FN_MC!M298)</f>
        <v>TEP</v>
      </c>
      <c r="L299" s="328" t="str">
        <f>IF(FN_MC!N298="","*",FN_MC!N298)</f>
        <v>TEP1</v>
      </c>
      <c r="M299" s="110">
        <f>IF(FN_MC!J298="","*",FN_MC!J298)</f>
        <v>98</v>
      </c>
      <c r="N299" s="291">
        <f>IF(FN_MC!K298="","*",FN_MC!K298)</f>
        <v>563.93100000000004</v>
      </c>
      <c r="O299" s="291" t="str">
        <f>IF(FN_MC!L298="","*",FN_MC!L298)</f>
        <v>-</v>
      </c>
      <c r="P299" s="110"/>
      <c r="Q299" s="127">
        <f>IF(FN_MC!O298="","*",FN_MC!O298)</f>
        <v>0.41666666666666669</v>
      </c>
      <c r="R299" s="127">
        <f>IF(FN_MC!P298="","*",FN_MC!P298)</f>
        <v>8.3333333333333329E-2</v>
      </c>
      <c r="S299" s="109" t="str">
        <f>IF(FN_MC!Q298="","*",CONCATENATE(FN_MC!Q298," ",FN_MC!R298))</f>
        <v>624 M</v>
      </c>
      <c r="T299" s="109" t="str">
        <f>IF(FN_MC!V298="","*",FN_MC!V298)</f>
        <v>PCM</v>
      </c>
      <c r="U299" s="109" t="str">
        <f>IF(FN_MC!W298="","*",FN_MC!W298)</f>
        <v>Descarga de 2 barras no equip - 98/563383-563931cv</v>
      </c>
      <c r="V299" s="111">
        <f ca="1">_xlfn.XLOOKUP(G299&amp;$V$2,BS_CONTROLE[CHAVE],BS_CONTROLE[Quantidade_11],"-")</f>
        <v>1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SIM</v>
      </c>
      <c r="B302" s="108" t="str">
        <f>IF(FN_MC!X301="","*",FN_MC!X301)</f>
        <v>Contrato</v>
      </c>
      <c r="C302" s="108" t="str">
        <f>IF(FN_MC!Z301="","*",FN_MC!Z301)</f>
        <v>*</v>
      </c>
      <c r="D302" s="109" t="str">
        <f>IF(FN_MC!S301="","*",FN_MC!S301)</f>
        <v>FERRONORTE</v>
      </c>
      <c r="E302" s="109" t="str">
        <f>IF(FN_MC!T301="","*",FN_MC!T301)</f>
        <v>TGR-TRO</v>
      </c>
      <c r="F302" s="109">
        <f>IF(FN_MC!B301="","*",FN_MC!B301)</f>
        <v>46037</v>
      </c>
      <c r="G302" s="109" t="str">
        <f>IF(FN_MC!D301="","*",FN_MC!D301)</f>
        <v>W70</v>
      </c>
      <c r="H302" s="109" t="str">
        <f>IF(FN_MC!F301="","*",FN_MC!F301)</f>
        <v>PDM - PEDRA - DESCARGA</v>
      </c>
      <c r="I302" s="109" t="str">
        <f>IF(FN_MC!H301="","*",FN_MC!H301)</f>
        <v>TGR/TIQ2</v>
      </c>
      <c r="J302" s="109" t="str">
        <f>IF(FN_MC!I301="","*",FN_MC!I301)</f>
        <v>TRO</v>
      </c>
      <c r="K302" s="109" t="str">
        <f>IF(FN_MC!M301="","*",FN_MC!M301)</f>
        <v>TAL-TSF</v>
      </c>
      <c r="L302" s="328" t="str">
        <f>IF(FN_MC!N301="","*",FN_MC!N301)</f>
        <v>710TSF</v>
      </c>
      <c r="M302" s="110">
        <f>IF(FN_MC!J301="","*",FN_MC!J301)</f>
        <v>98</v>
      </c>
      <c r="N302" s="291">
        <f>IF(FN_MC!K301="","*",FN_MC!K301)</f>
        <v>718.3</v>
      </c>
      <c r="O302" s="291" t="str">
        <f>IF(FN_MC!L301="","*",FN_MC!L301)</f>
        <v>-</v>
      </c>
      <c r="P302" s="110"/>
      <c r="Q302" s="127">
        <f>IF(FN_MC!O301="","*",FN_MC!O301)</f>
        <v>0.41666666666666669</v>
      </c>
      <c r="R302" s="127">
        <f>IF(FN_MC!P301="","*",FN_MC!P301)</f>
        <v>0.125</v>
      </c>
      <c r="S302" s="109" t="str">
        <f>IF(FN_MC!Q301="","*",CONCATENATE(FN_MC!Q301," ",FN_MC!R301))</f>
        <v>28 VAGÕES</v>
      </c>
      <c r="T302" s="109" t="str">
        <f>IF(FN_MC!V301="","*",FN_MC!V301)</f>
        <v>Camila</v>
      </c>
      <c r="U302" s="109" t="str">
        <f>IF(FN_MC!W301="","*",FN_MC!W301)</f>
        <v>Descarga de pedra SB 710TSF 90min
SB TSF1 45min
SB TSF732 45min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OPORTUNIDADE</v>
      </c>
      <c r="B304" s="108" t="str">
        <f>IF(FN_MC!X303="","*",FN_MC!X303)</f>
        <v>Oportunidade</v>
      </c>
      <c r="C304" s="108" t="str">
        <f>IF(FN_MC!Z303="","*",FN_MC!Z303)</f>
        <v>*</v>
      </c>
      <c r="D304" s="109" t="str">
        <f>IF(FN_MC!S303="","*",FN_MC!S303)</f>
        <v>FERRONORTE</v>
      </c>
      <c r="E304" s="109" t="str">
        <f>IF(FN_MC!T303="","*",FN_MC!T303)</f>
        <v>TGR-TRO</v>
      </c>
      <c r="F304" s="109">
        <f>IF(FN_MC!B303="","*",FN_MC!B303)</f>
        <v>46037</v>
      </c>
      <c r="G304" s="109" t="str">
        <f>IF(FN_MC!D303="","*",FN_MC!D303)</f>
        <v>A60</v>
      </c>
      <c r="H304" s="109" t="str">
        <f>IF(FN_MC!F303="","*",FN_MC!F303)</f>
        <v>DETECÇÃO - RONDA 7 DIAS</v>
      </c>
      <c r="I304" s="109" t="str">
        <f>IF(FN_MC!H303="","*",FN_MC!H303)</f>
        <v>TGR</v>
      </c>
      <c r="J304" s="109" t="str">
        <f>IF(FN_MC!I303="","*",FN_MC!I303)</f>
        <v>TAL</v>
      </c>
      <c r="K304" s="109" t="str">
        <f>IF(FN_MC!M303="","*",FN_MC!M303)</f>
        <v>TGR-TAL</v>
      </c>
      <c r="L304" s="328" t="str">
        <f>IF(FN_MC!N303="","*",FN_MC!N303)</f>
        <v>TGRTAL</v>
      </c>
      <c r="M304" s="110">
        <f>IF(FN_MC!J303="","*",FN_MC!J303)</f>
        <v>98</v>
      </c>
      <c r="N304" s="291">
        <f>IF(FN_MC!K303="","*",FN_MC!K303)</f>
        <v>502</v>
      </c>
      <c r="O304" s="291" t="str">
        <f>IF(FN_MC!L303="","*",FN_MC!L303)</f>
        <v>-</v>
      </c>
      <c r="P304" s="110"/>
      <c r="Q304" s="127">
        <f>IF(FN_MC!O303="","*",FN_MC!O303)</f>
        <v>0.33333333333333331</v>
      </c>
      <c r="R304" s="127">
        <f>IF(FN_MC!P303="","*",FN_MC!P303)</f>
        <v>4.1666666666666664E-2</v>
      </c>
      <c r="S304" s="109" t="str">
        <f>IF(FN_MC!Q303="","*",CONCATENATE(FN_MC!Q303," ",FN_MC!R303))</f>
        <v>200 KM</v>
      </c>
      <c r="T304" s="109" t="str">
        <f>IF(FN_MC!V303="","*",FN_MC!V303)</f>
        <v>Herbert</v>
      </c>
      <c r="U304" s="109" t="str">
        <f>IF(FN_MC!W303="","*",FN_MC!W303)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OPORTUNIDADE</v>
      </c>
      <c r="B306" s="108" t="str">
        <f>IF(FN_MC!X305="","*",FN_MC!X305)</f>
        <v>Oportunidade</v>
      </c>
      <c r="C306" s="108" t="str">
        <f>IF(FN_MC!Z305="","*",FN_MC!Z305)</f>
        <v>*</v>
      </c>
      <c r="D306" s="109" t="str">
        <f>IF(FN_MC!S305="","*",FN_MC!S305)</f>
        <v>FERRONORTE</v>
      </c>
      <c r="E306" s="109" t="str">
        <f>IF(FN_MC!T305="","*",FN_MC!T305)</f>
        <v>TCS-TGR</v>
      </c>
      <c r="F306" s="109">
        <f>IF(FN_MC!B305="","*",FN_MC!B305)</f>
        <v>46037</v>
      </c>
      <c r="G306" s="109" t="str">
        <f>IF(FN_MC!D305="","*",FN_MC!D305)</f>
        <v>ELSON (TF-526)</v>
      </c>
      <c r="H306" s="109" t="str">
        <f>IF(FN_MC!F305="","*",FN_MC!F305)</f>
        <v>PDM - SOLDA</v>
      </c>
      <c r="I306" s="109" t="str">
        <f>IF(FN_MC!H305="","*",FN_MC!H305)</f>
        <v>TPC440</v>
      </c>
      <c r="J306" s="109" t="str">
        <f>IF(FN_MC!I305="","*",FN_MC!I305)</f>
        <v>-</v>
      </c>
      <c r="K306" s="109" t="str">
        <f>IF(FN_MC!M305="","*",FN_MC!M305)</f>
        <v>TPC-TVL</v>
      </c>
      <c r="L306" s="328" t="str">
        <f>IF(FN_MC!N305="","*",FN_MC!N305)</f>
        <v>TPC440</v>
      </c>
      <c r="M306" s="110">
        <f>IF(FN_MC!J305="","*",FN_MC!J305)</f>
        <v>74</v>
      </c>
      <c r="N306" s="291">
        <f>IF(FN_MC!K305="","*",FN_MC!K305)</f>
        <v>431.2</v>
      </c>
      <c r="O306" s="291" t="str">
        <f>IF(FN_MC!L305="","*",FN_MC!L305)</f>
        <v>-</v>
      </c>
      <c r="P306" s="110"/>
      <c r="Q306" s="127">
        <f>IF(FN_MC!O305="","*",FN_MC!O305)</f>
        <v>0.375</v>
      </c>
      <c r="R306" s="127">
        <f>IF(FN_MC!P305="","*",FN_MC!P305)</f>
        <v>8.3333333333333329E-2</v>
      </c>
      <c r="S306" s="109" t="str">
        <f>IF(FN_MC!Q305="","*",CONCATENATE(FN_MC!Q305," ",FN_MC!R305))</f>
        <v>1 Nº DE SOLDA</v>
      </c>
      <c r="T306" s="109" t="str">
        <f>IF(FN_MC!V305="","*",FN_MC!V305)</f>
        <v>Silmara</v>
      </c>
      <c r="U306" s="109" t="str">
        <f>IF(FN_MC!W305="","*",FN_MC!W305)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>
      <c r="A310" s="108" t="str">
        <f>IF(FN_MC!Y309="","*",FN_MC!Y309)</f>
        <v>OPORTUNIDADE</v>
      </c>
      <c r="B310" s="108" t="str">
        <f>IF(FN_MC!X309="","*",FN_MC!X309)</f>
        <v>Oportunidade</v>
      </c>
      <c r="C310" s="108" t="str">
        <f>IF(FN_MC!Z309="","*",FN_MC!Z309)</f>
        <v>*</v>
      </c>
      <c r="D310" s="109" t="str">
        <f>IF(FN_MC!S309="","*",FN_MC!S309)</f>
        <v>FERRONORTE</v>
      </c>
      <c r="E310" s="109" t="str">
        <f>IF(FN_MC!T309="","*",FN_MC!T309)</f>
        <v>TMI-TCS</v>
      </c>
      <c r="F310" s="109">
        <f>IF(FN_MC!B309="","*",FN_MC!B309)</f>
        <v>46037</v>
      </c>
      <c r="G310" s="109" t="str">
        <f>IF(FN_MC!D309="","*",FN_MC!D309)</f>
        <v>V66</v>
      </c>
      <c r="H310" s="109" t="str">
        <f>IF(FN_MC!F309="","*",FN_MC!F309)</f>
        <v>MODERNIZAÇÃO - REGULAGEM</v>
      </c>
      <c r="I310" s="109" t="str">
        <f>IF(FN_MC!H309="","*",FN_MC!H309)</f>
        <v>TID</v>
      </c>
      <c r="J310" s="109" t="str">
        <f>IF(FN_MC!I309="","*",FN_MC!I309)</f>
        <v>TID</v>
      </c>
      <c r="K310" s="109" t="str">
        <f>IF(FN_MC!M309="","*",FN_MC!M309)</f>
        <v>TCE</v>
      </c>
      <c r="L310" s="328" t="str">
        <f>IF(FN_MC!N309="","*",FN_MC!N309)</f>
        <v>TCE1</v>
      </c>
      <c r="M310" s="110">
        <f>IF(FN_MC!J309="","*",FN_MC!J309)</f>
        <v>74</v>
      </c>
      <c r="N310" s="291">
        <f>IF(FN_MC!K309="","*",FN_MC!K309)</f>
        <v>165</v>
      </c>
      <c r="O310" s="291" t="str">
        <f>IF(FN_MC!L309="","*",FN_MC!L309)</f>
        <v>-</v>
      </c>
      <c r="P310" s="110"/>
      <c r="Q310" s="127">
        <f>IF(FN_MC!O309="","*",FN_MC!O309)</f>
        <v>0.375</v>
      </c>
      <c r="R310" s="127">
        <f>IF(FN_MC!P309="","*",FN_MC!P309)</f>
        <v>0.125</v>
      </c>
      <c r="S310" s="109" t="str">
        <f>IF(FN_MC!Q309="","*",CONCATENATE(FN_MC!Q309," ",FN_MC!R309))</f>
        <v>500 M</v>
      </c>
      <c r="T310" s="109" t="str">
        <f>IF(FN_MC!V309="","*",FN_MC!V309)</f>
        <v>Augusto</v>
      </c>
      <c r="U310" s="109" t="str">
        <f>IF(FN_MC!W309="","*",FN_MC!W309)</f>
        <v>Regulagem de brita</v>
      </c>
      <c r="V310" s="111">
        <f ca="1">_xlfn.XLOOKUP(G310&amp;$V$2,BS_CONTROLE[CHAVE],BS_CONTROLE[Quantidade_11],"-")</f>
        <v>2215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OPORTUNIDADE</v>
      </c>
      <c r="B313" s="108" t="str">
        <f>IF(FN_MC!X312="","*",FN_MC!X312)</f>
        <v>Oportunidade</v>
      </c>
      <c r="C313" s="108" t="str">
        <f>IF(FN_MC!Z312="","*",FN_MC!Z312)</f>
        <v>*</v>
      </c>
      <c r="D313" s="109" t="str">
        <f>IF(FN_MC!S312="","*",FN_MC!S312)</f>
        <v>FERRONORTE</v>
      </c>
      <c r="E313" s="109" t="str">
        <f>IF(FN_MC!T312="","*",FN_MC!T312)</f>
        <v>TMI-TCS</v>
      </c>
      <c r="F313" s="109">
        <f>IF(FN_MC!B312="","*",FN_MC!B312)</f>
        <v>46037</v>
      </c>
      <c r="G313" s="109" t="str">
        <f>IF(FN_MC!D312="","*",FN_MC!D312)</f>
        <v>MARCOS (TF-520)</v>
      </c>
      <c r="H313" s="109" t="str">
        <f>IF(FN_MC!F312="","*",FN_MC!F312)</f>
        <v>PDM - SOLDA</v>
      </c>
      <c r="I313" s="109" t="str">
        <f>IF(FN_MC!H312="","*",FN_MC!H312)</f>
        <v>K73TSP</v>
      </c>
      <c r="J313" s="109" t="str">
        <f>IF(FN_MC!I312="","*",FN_MC!I312)</f>
        <v>-</v>
      </c>
      <c r="K313" s="109" t="str">
        <f>IF(FN_MC!M312="","*",FN_MC!M312)</f>
        <v>TQI-TSP</v>
      </c>
      <c r="L313" s="328" t="str">
        <f>IF(FN_MC!N312="","*",FN_MC!N312)</f>
        <v>K73TSP</v>
      </c>
      <c r="M313" s="110">
        <f>IF(FN_MC!J312="","*",FN_MC!J312)</f>
        <v>74</v>
      </c>
      <c r="N313" s="291">
        <f>IF(FN_MC!K312="","*",FN_MC!K312)</f>
        <v>80.3</v>
      </c>
      <c r="O313" s="291" t="str">
        <f>IF(FN_MC!L312="","*",FN_MC!L312)</f>
        <v>-</v>
      </c>
      <c r="P313" s="110"/>
      <c r="Q313" s="127">
        <f>IF(FN_MC!O312="","*",FN_MC!O312)</f>
        <v>0.375</v>
      </c>
      <c r="R313" s="127">
        <f>IF(FN_MC!P312="","*",FN_MC!P312)</f>
        <v>8.3333333333333329E-2</v>
      </c>
      <c r="S313" s="109" t="str">
        <f>IF(FN_MC!Q312="","*",CONCATENATE(FN_MC!Q312," ",FN_MC!R312))</f>
        <v>2 Nº DE SOLDA</v>
      </c>
      <c r="T313" s="109" t="str">
        <f>IF(FN_MC!V312="","*",FN_MC!V312)</f>
        <v>Herbert</v>
      </c>
      <c r="U313" s="109" t="str">
        <f>IF(FN_MC!W312="","*",FN_MC!W312)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OPORTUNIDADE</v>
      </c>
      <c r="B320" s="108" t="str">
        <f>IF(FN_MC!X319="","*",FN_MC!X319)</f>
        <v>Oportunidade</v>
      </c>
      <c r="C320" s="108" t="str">
        <f>IF(FN_MC!Z319="","*",FN_MC!Z319)</f>
        <v>*</v>
      </c>
      <c r="D320" s="109" t="str">
        <f>IF(FN_MC!S319="","*",FN_MC!S319)</f>
        <v>MALHA CENTRAL</v>
      </c>
      <c r="E320" s="109" t="str">
        <f>IF(FN_MC!T319="","*",FN_MC!T319)</f>
        <v>RAMAL</v>
      </c>
      <c r="F320" s="109">
        <f>IF(FN_MC!B319="","*",FN_MC!B319)</f>
        <v>46037</v>
      </c>
      <c r="G320" s="109" t="str">
        <f>IF(FN_MC!D319="","*",FN_MC!D319)</f>
        <v>A88</v>
      </c>
      <c r="H320" s="109" t="str">
        <f>IF(FN_MC!F319="","*",FN_MC!F319)</f>
        <v>INSPEÇÃO AUTO DE LINHA</v>
      </c>
      <c r="I320" s="109" t="str">
        <f>IF(FN_MC!H319="","*",FN_MC!H319)</f>
        <v>ZFH2</v>
      </c>
      <c r="J320" s="109" t="str">
        <f>IF(FN_MC!I319="","*",FN_MC!I319)</f>
        <v>ZTR</v>
      </c>
      <c r="K320" s="109" t="str">
        <f>IF(FN_MC!M319="","*",FN_MC!M319)</f>
        <v>ZQY-ZFH</v>
      </c>
      <c r="L320" s="328" t="str">
        <f>IF(FN_MC!N319="","*",FN_MC!N319)</f>
        <v>ZQYZFH</v>
      </c>
      <c r="M320" s="110">
        <f>IF(FN_MC!J319="","*",FN_MC!J319)</f>
        <v>78</v>
      </c>
      <c r="N320" s="291">
        <f>IF(FN_MC!K319="","*",FN_MC!K319)</f>
        <v>189.45</v>
      </c>
      <c r="O320" s="291" t="str">
        <f>IF(FN_MC!L319="","*",FN_MC!L319)</f>
        <v>-</v>
      </c>
      <c r="P320" s="110"/>
      <c r="Q320" s="127">
        <f>IF(FN_MC!O319="","*",FN_MC!O319)</f>
        <v>0.375</v>
      </c>
      <c r="R320" s="127">
        <f>IF(FN_MC!P319="","*",FN_MC!P319)</f>
        <v>4.1666666666666664E-2</v>
      </c>
      <c r="S320" s="109" t="str">
        <f>IF(FN_MC!Q319="","*",CONCATENATE(FN_MC!Q319," ",FN_MC!R319))</f>
        <v>1 BINÁRIO</v>
      </c>
      <c r="T320" s="109" t="str">
        <f>IF(FN_MC!V319="","*",FN_MC!V319)</f>
        <v>Paulo</v>
      </c>
      <c r="U320" s="109" t="str">
        <f>IF(FN_MC!W319="","*",FN_MC!W319)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OPORTUNIDADE</v>
      </c>
      <c r="B323" s="108" t="str">
        <f>IF(FN_MC!X322="","*",FN_MC!X322)</f>
        <v>Oportunidade</v>
      </c>
      <c r="C323" s="108" t="str">
        <f>IF(FN_MC!Z322="","*",FN_MC!Z322)</f>
        <v>*</v>
      </c>
      <c r="D323" s="109" t="str">
        <f>IF(FN_MC!S322="","*",FN_MC!S322)</f>
        <v>MALHA CENTRAL</v>
      </c>
      <c r="E323" s="109" t="str">
        <f>IF(FN_MC!T322="","*",FN_MC!T322)</f>
        <v>RAMAL</v>
      </c>
      <c r="F323" s="109" t="str">
        <f>IF(FN_MC!B322="","*",FN_MC!B322)</f>
        <v>*</v>
      </c>
      <c r="G323" s="109" t="str">
        <f>IF(FN_MC!D322="","*",FN_MC!D322)</f>
        <v>E48</v>
      </c>
      <c r="H323" s="109" t="str">
        <f>IF(FN_MC!F322="","*",FN_MC!F322)</f>
        <v>DESLOCAMENTO</v>
      </c>
      <c r="I323" s="109" t="str">
        <f>IF(FN_MC!H322="","*",FN_MC!H322)</f>
        <v>ZTP</v>
      </c>
      <c r="J323" s="109" t="str">
        <f>IF(FN_MC!I322="","*",FN_MC!I322)</f>
        <v>ZPG</v>
      </c>
      <c r="K323" s="109" t="str">
        <f>IF(FN_MC!M322="","*",FN_MC!M322)</f>
        <v>ZTP-ZPG</v>
      </c>
      <c r="L323" s="328" t="str">
        <f>IF(FN_MC!N322="","*",FN_MC!N322)</f>
        <v>ZTP-ZPG</v>
      </c>
      <c r="M323" s="110">
        <f>IF(FN_MC!J322="","*",FN_MC!J322)</f>
        <v>78</v>
      </c>
      <c r="N323" s="291">
        <f>IF(FN_MC!K322="","*",FN_MC!K322)</f>
        <v>334</v>
      </c>
      <c r="O323" s="291" t="str">
        <f>IF(FN_MC!L322="","*",FN_MC!L322)</f>
        <v>-</v>
      </c>
      <c r="P323" s="110"/>
      <c r="Q323" s="127">
        <f>IF(FN_MC!O322="","*",FN_MC!O322)</f>
        <v>0.45833333333333331</v>
      </c>
      <c r="R323" s="127">
        <f>IF(FN_MC!P322="","*",FN_MC!P322)</f>
        <v>4.1666666666666664E-2</v>
      </c>
      <c r="S323" s="109" t="str">
        <f>IF(FN_MC!Q322="","*",CONCATENATE(FN_MC!Q322," ",FN_MC!R322))</f>
        <v>1 BINÁRIO</v>
      </c>
      <c r="T323" s="109" t="str">
        <f>IF(FN_MC!V322="","*",FN_MC!V322)</f>
        <v>PCM</v>
      </c>
      <c r="U323" s="109" t="str">
        <f>IF(FN_MC!W322="","*",FN_MC!W322)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MALHA CENTRAL</v>
      </c>
      <c r="E326" s="109" t="str">
        <f>IF(FN_MC!T325="","*",FN_MC!T325)</f>
        <v>RAMAL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ZBO-ZEP</v>
      </c>
      <c r="L326" s="328" t="str">
        <f>IF(FN_MC!N325="","*",FN_MC!N325)</f>
        <v>ZBOZEP</v>
      </c>
      <c r="M326" s="110">
        <f>IF(FN_MC!J325="","*",FN_MC!J325)</f>
        <v>78</v>
      </c>
      <c r="N326" s="291">
        <f>IF(FN_MC!K325="","*",FN_MC!K325)</f>
        <v>208.5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1583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8" t="s">
        <v>1584</v>
      </c>
      <c r="C2" s="388"/>
      <c r="D2" s="388"/>
      <c r="E2" s="388"/>
      <c r="F2" s="388"/>
      <c r="G2" s="388"/>
      <c r="H2" s="187"/>
    </row>
    <row r="3" spans="1:8">
      <c r="A3" s="187"/>
      <c r="B3" s="389"/>
      <c r="C3" s="389"/>
      <c r="D3" s="389"/>
      <c r="E3" s="389"/>
      <c r="F3" s="389"/>
      <c r="G3" s="389"/>
      <c r="H3" s="187"/>
    </row>
    <row r="4" spans="1:8" ht="40.5">
      <c r="A4" s="187"/>
      <c r="B4" s="321" t="s">
        <v>1585</v>
      </c>
      <c r="C4" s="321" t="s">
        <v>1586</v>
      </c>
      <c r="D4" s="321" t="s">
        <v>1587</v>
      </c>
      <c r="E4" s="321" t="s">
        <v>1588</v>
      </c>
      <c r="F4" s="321" t="s">
        <v>545</v>
      </c>
      <c r="G4" s="321" t="s">
        <v>1589</v>
      </c>
      <c r="H4" s="187"/>
    </row>
    <row r="5" spans="1:8" ht="43.5">
      <c r="A5" s="187"/>
      <c r="B5" s="322" t="s">
        <v>1590</v>
      </c>
      <c r="C5" s="322">
        <v>309525</v>
      </c>
      <c r="D5" s="322" t="s">
        <v>1591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1592</v>
      </c>
      <c r="C6" s="322">
        <v>256875</v>
      </c>
      <c r="D6" s="322" t="s">
        <v>1593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1594</v>
      </c>
      <c r="C7" s="322">
        <v>257278</v>
      </c>
      <c r="D7" s="322" t="s">
        <v>1595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1596</v>
      </c>
      <c r="C8" s="322">
        <v>261794</v>
      </c>
      <c r="D8" s="322" t="s">
        <v>1597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1598</v>
      </c>
      <c r="C9" s="322">
        <v>257033</v>
      </c>
      <c r="D9" s="322" t="s">
        <v>1599</v>
      </c>
      <c r="E9" s="322" t="s">
        <v>240</v>
      </c>
      <c r="F9" s="322" t="s">
        <v>732</v>
      </c>
      <c r="G9" s="322" t="s">
        <v>1600</v>
      </c>
      <c r="H9" s="187"/>
    </row>
    <row r="10" spans="1:8" ht="43.5">
      <c r="A10" s="187"/>
      <c r="B10" s="322" t="s">
        <v>1601</v>
      </c>
      <c r="C10" s="322">
        <v>396578</v>
      </c>
      <c r="D10" s="322" t="s">
        <v>1602</v>
      </c>
      <c r="E10" s="322" t="s">
        <v>240</v>
      </c>
      <c r="F10" s="322" t="s">
        <v>732</v>
      </c>
      <c r="G10" s="322" t="s">
        <v>1600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1603</v>
      </c>
      <c r="C2" s="95" t="s">
        <v>1162</v>
      </c>
      <c r="D2" s="95" t="s">
        <v>1164</v>
      </c>
      <c r="E2" s="95" t="s">
        <v>1604</v>
      </c>
      <c r="F2" s="95" t="s">
        <v>1605</v>
      </c>
      <c r="G2" s="95" t="s">
        <v>1606</v>
      </c>
      <c r="H2" s="95" t="s">
        <v>1607</v>
      </c>
      <c r="I2" s="95" t="s">
        <v>1608</v>
      </c>
      <c r="J2" s="95" t="s">
        <v>1609</v>
      </c>
      <c r="K2" s="130" t="s">
        <v>1610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RVD-TIQ</v>
      </c>
      <c r="G269" s="120" t="str">
        <f>IF(FN_MC!I263="","*",FN_MC!I263)</f>
        <v>TIQ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 t="str">
        <f>IF(FN_MC!B267="","*",FN_MC!B267)</f>
        <v>*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E14</v>
      </c>
      <c r="E294" s="120" t="str">
        <f>IF(FN_MC!H288="","*",FN_MC!H288)</f>
        <v>PUD</v>
      </c>
      <c r="F294" s="136" t="str">
        <f>IF(FN_MC!M288="","*",FN_MC!M288)</f>
        <v>PUD-K57</v>
      </c>
      <c r="G294" s="120" t="str">
        <f>IF(FN_MC!I288="","*",FN_MC!I288)</f>
        <v>PSS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OPORTUNIDADE</v>
      </c>
      <c r="C297" s="120" t="str">
        <f>IF(FN_MC!B291="","*",FN_MC!B291)</f>
        <v>*</v>
      </c>
      <c r="D297" s="120" t="str">
        <f>IF(FN_MC!D291="","*",FN_MC!D291)</f>
        <v>E48</v>
      </c>
      <c r="E297" s="120" t="str">
        <f>IF(FN_MC!H291="","*",FN_MC!H291)</f>
        <v>ZTP</v>
      </c>
      <c r="F297" s="136" t="str">
        <f>IF(FN_MC!M291="","*",FN_MC!M291)</f>
        <v>ZTP-ZPG</v>
      </c>
      <c r="G297" s="120" t="str">
        <f>IF(FN_MC!I291="","*",FN_MC!I291)</f>
        <v>ZPG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SIM</v>
      </c>
      <c r="C301" s="120">
        <f>IF(FN_MC!B295="","*",FN_MC!B295)</f>
        <v>46037</v>
      </c>
      <c r="D301" s="120" t="str">
        <f>IF(FN_MC!D295="","*",FN_MC!D295)</f>
        <v>V86</v>
      </c>
      <c r="E301" s="120" t="str">
        <f>IF(FN_MC!H295="","*",FN_MC!H295)</f>
        <v>TSF1</v>
      </c>
      <c r="F301" s="136" t="str">
        <f>IF(FN_MC!M295="","*",FN_MC!M295)</f>
        <v>TSF-TRO</v>
      </c>
      <c r="G301" s="120" t="str">
        <f>IF(FN_MC!I295="","*",FN_MC!I295)</f>
        <v>TSF1</v>
      </c>
      <c r="H301" s="120" t="str">
        <f>IF(FN_MC!AB295="","*",FN_MC!AB295)</f>
        <v>FIXO</v>
      </c>
      <c r="I301" s="120" t="str">
        <f>IF(FN_MC!AC295="","*",FN_MC!AC295)</f>
        <v>*</v>
      </c>
      <c r="J301" s="121">
        <f>IF(FN_MC!AA295="","*",FN_MC!AA295)</f>
        <v>1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E46</v>
      </c>
      <c r="E304" s="120" t="str">
        <f>IF(FN_MC!H298="","*",FN_MC!H298)</f>
        <v>TIQ</v>
      </c>
      <c r="F304" s="136" t="str">
        <f>IF(FN_MC!M298="","*",FN_MC!M298)</f>
        <v>TEP</v>
      </c>
      <c r="G304" s="120" t="str">
        <f>IF(FN_MC!I298="","*",FN_MC!I298)</f>
        <v>TIQ</v>
      </c>
      <c r="H304" s="120" t="str">
        <f>IF(FN_MC!AB298="","*",FN_MC!AB298)</f>
        <v>ESCALA</v>
      </c>
      <c r="I304" s="120" t="str">
        <f>IF(FN_MC!AC298="","*",FN_MC!AC298)</f>
        <v>*</v>
      </c>
      <c r="J304" s="121">
        <f>IF(FN_MC!AA298="","*",FN_MC!AA298)</f>
        <v>2</v>
      </c>
      <c r="K304" s="133">
        <f>IF(FN_MC!AD298="","*",FN_MC!AD298)</f>
        <v>0.29166666666666669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SIM</v>
      </c>
      <c r="C307" s="120">
        <f>IF(FN_MC!B301="","*",FN_MC!B301)</f>
        <v>46037</v>
      </c>
      <c r="D307" s="120" t="str">
        <f>IF(FN_MC!D301="","*",FN_MC!D301)</f>
        <v>W70</v>
      </c>
      <c r="E307" s="120" t="str">
        <f>IF(FN_MC!H301="","*",FN_MC!H301)</f>
        <v>TGR/TIQ2</v>
      </c>
      <c r="F307" s="136" t="str">
        <f>IF(FN_MC!M301="","*",FN_MC!M301)</f>
        <v>TAL-TSF</v>
      </c>
      <c r="G307" s="120" t="str">
        <f>IF(FN_MC!I301="","*",FN_MC!I301)</f>
        <v>TRO</v>
      </c>
      <c r="H307" s="120" t="str">
        <f>IF(FN_MC!AB301="","*",FN_MC!AB301)</f>
        <v>FIXO</v>
      </c>
      <c r="I307" s="120" t="str">
        <f>IF(FN_MC!AC301="","*",FN_MC!AC301)</f>
        <v>*</v>
      </c>
      <c r="J307" s="121" t="str">
        <f>IF(FN_MC!AA301="","*",FN_MC!AA301)</f>
        <v>2 (Enio e Daniel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OPORTUNIDADE</v>
      </c>
      <c r="C309" s="120">
        <f>IF(FN_MC!B303="","*",FN_MC!B303)</f>
        <v>46037</v>
      </c>
      <c r="D309" s="120" t="str">
        <f>IF(FN_MC!D303="","*",FN_MC!D303)</f>
        <v>A60</v>
      </c>
      <c r="E309" s="120" t="str">
        <f>IF(FN_MC!H303="","*",FN_MC!H303)</f>
        <v>TGR</v>
      </c>
      <c r="F309" s="136" t="str">
        <f>IF(FN_MC!M303="","*",FN_MC!M303)</f>
        <v>TGR-TAL</v>
      </c>
      <c r="G309" s="120" t="str">
        <f>IF(FN_MC!I303="","*",FN_MC!I303)</f>
        <v>TAL</v>
      </c>
      <c r="H309" s="120" t="str">
        <f>IF(FN_MC!AB303="","*",FN_MC!AB303)</f>
        <v>FIXO</v>
      </c>
      <c r="I309" s="120" t="str">
        <f>IF(FN_MC!AC303="","*",FN_MC!AC303)</f>
        <v>*</v>
      </c>
      <c r="J309" s="121">
        <f>IF(FN_MC!AA303="","*",FN_MC!AA303)</f>
        <v>1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OPORTUNIDADE</v>
      </c>
      <c r="C311" s="120">
        <f>IF(FN_MC!B305="","*",FN_MC!B305)</f>
        <v>46037</v>
      </c>
      <c r="D311" s="120" t="str">
        <f>IF(FN_MC!D305="","*",FN_MC!D305)</f>
        <v>ELSON (TF-526)</v>
      </c>
      <c r="E311" s="120" t="str">
        <f>IF(FN_MC!H305="","*",FN_MC!H305)</f>
        <v>TPC440</v>
      </c>
      <c r="F311" s="136" t="str">
        <f>IF(FN_MC!M305="","*",FN_MC!M305)</f>
        <v>TPC-TVL</v>
      </c>
      <c r="G311" s="120" t="str">
        <f>IF(FN_MC!I305="","*",FN_MC!I305)</f>
        <v>-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OPORTUNIDADE</v>
      </c>
      <c r="C315" s="120">
        <f>IF(FN_MC!B309="","*",FN_MC!B309)</f>
        <v>46037</v>
      </c>
      <c r="D315" s="120" t="str">
        <f>IF(FN_MC!D309="","*",FN_MC!D309)</f>
        <v>V66</v>
      </c>
      <c r="E315" s="120" t="str">
        <f>IF(FN_MC!H309="","*",FN_MC!H309)</f>
        <v>TID</v>
      </c>
      <c r="F315" s="136" t="str">
        <f>IF(FN_MC!M309="","*",FN_MC!M309)</f>
        <v>TCE</v>
      </c>
      <c r="G315" s="120" t="str">
        <f>IF(FN_MC!I309="","*",FN_MC!I309)</f>
        <v>TID</v>
      </c>
      <c r="H315" s="120" t="str">
        <f>IF(FN_MC!AB309="","*",FN_MC!AB309)</f>
        <v>FIXO</v>
      </c>
      <c r="I315" s="120" t="str">
        <f>IF(FN_MC!AC309="","*",FN_MC!AC309)</f>
        <v>*</v>
      </c>
      <c r="J315" s="121">
        <f>IF(FN_MC!AA309="","*",FN_MC!AA309)</f>
        <v>1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OPORTUNIDADE</v>
      </c>
      <c r="C318" s="120">
        <f>IF(FN_MC!B312="","*",FN_MC!B312)</f>
        <v>46037</v>
      </c>
      <c r="D318" s="120" t="str">
        <f>IF(FN_MC!D312="","*",FN_MC!D312)</f>
        <v>MARCOS (TF-520)</v>
      </c>
      <c r="E318" s="120" t="str">
        <f>IF(FN_MC!H312="","*",FN_MC!H312)</f>
        <v>K73TSP</v>
      </c>
      <c r="F318" s="136" t="str">
        <f>IF(FN_MC!M312="","*",FN_MC!M312)</f>
        <v>TQI-TSP</v>
      </c>
      <c r="G318" s="120" t="str">
        <f>IF(FN_MC!I312="","*",FN_MC!I312)</f>
        <v>-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OPORTUNIDADE</v>
      </c>
      <c r="C325" s="120">
        <f>IF(FN_MC!B319="","*",FN_MC!B319)</f>
        <v>46037</v>
      </c>
      <c r="D325" s="120" t="str">
        <f>IF(FN_MC!D319="","*",FN_MC!D319)</f>
        <v>A88</v>
      </c>
      <c r="E325" s="120" t="str">
        <f>IF(FN_MC!H319="","*",FN_MC!H319)</f>
        <v>ZFH2</v>
      </c>
      <c r="F325" s="136" t="str">
        <f>IF(FN_MC!M319="","*",FN_MC!M319)</f>
        <v>ZQY-ZFH</v>
      </c>
      <c r="G325" s="120" t="str">
        <f>IF(FN_MC!I319="","*",FN_MC!I319)</f>
        <v>ZTR</v>
      </c>
      <c r="H325" s="120" t="str">
        <f>IF(FN_MC!AB319="","*",FN_MC!AB319)</f>
        <v>FIXO</v>
      </c>
      <c r="I325" s="120" t="str">
        <f>IF(FN_MC!AC319="","*",FN_MC!AC319)</f>
        <v>*</v>
      </c>
      <c r="J325" s="121">
        <f>IF(FN_MC!AA319="","*",FN_MC!AA319)</f>
        <v>1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OPORTUNIDADE</v>
      </c>
      <c r="C328" s="120" t="str">
        <f>IF(FN_MC!B322="","*",FN_MC!B322)</f>
        <v>*</v>
      </c>
      <c r="D328" s="120" t="str">
        <f>IF(FN_MC!D322="","*",FN_MC!D322)</f>
        <v>E48</v>
      </c>
      <c r="E328" s="120" t="str">
        <f>IF(FN_MC!H322="","*",FN_MC!H322)</f>
        <v>ZTP</v>
      </c>
      <c r="F328" s="136" t="str">
        <f>IF(FN_MC!M322="","*",FN_MC!M322)</f>
        <v>ZTP-ZPG</v>
      </c>
      <c r="G328" s="120" t="str">
        <f>IF(FN_MC!I322="","*",FN_MC!I322)</f>
        <v>ZPG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1 (Edson)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ZBO-ZEP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0" t="s">
        <v>1611</v>
      </c>
      <c r="D5" s="391"/>
      <c r="E5" s="391"/>
      <c r="F5" s="391"/>
      <c r="G5" s="391"/>
      <c r="H5" s="391"/>
      <c r="I5" s="391"/>
      <c r="J5" s="392"/>
      <c r="K5" s="393" t="s">
        <v>1612</v>
      </c>
      <c r="L5" s="394"/>
      <c r="M5" s="394"/>
      <c r="N5" s="394"/>
      <c r="O5" s="395" t="s">
        <v>1613</v>
      </c>
      <c r="P5" s="396"/>
      <c r="Q5" s="397"/>
    </row>
    <row r="6" spans="1:17" s="93" customFormat="1" ht="15.75" customHeight="1">
      <c r="A6" s="87" t="s">
        <v>1581</v>
      </c>
      <c r="B6" s="94" t="s">
        <v>1580</v>
      </c>
      <c r="C6" s="95" t="s">
        <v>1177</v>
      </c>
      <c r="D6" s="96" t="s">
        <v>1178</v>
      </c>
      <c r="E6" s="95" t="s">
        <v>1614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1615</v>
      </c>
      <c r="M6" s="138" t="s">
        <v>30</v>
      </c>
      <c r="N6" s="139" t="s">
        <v>1172</v>
      </c>
      <c r="O6" s="241" t="s">
        <v>1215</v>
      </c>
      <c r="P6" s="152"/>
      <c r="Q6" s="188" t="s">
        <v>1616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2</v>
      </c>
      <c r="P262" s="90"/>
      <c r="Q262" s="144" t="str">
        <f>IF($A$2=1,IF(FN_MC!BJ260="","*",FN_MC!BJ260),IF(FN_MC!BK260="","*",FN_MC!BK260))</f>
        <v>Intervalo das 13:21h as 19:21h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RVD-TIQ</v>
      </c>
      <c r="H265" s="149">
        <f>IF(FN_MC!K263="","*",FN_MC!K263)</f>
        <v>754</v>
      </c>
      <c r="I265" s="131">
        <f>IF(FN_MC!O263="","*",FN_MC!O263)</f>
        <v>0.41666666666666669</v>
      </c>
      <c r="J265" s="131">
        <f>IF(FN_MC!P263="","*",FN_MC!P263)</f>
        <v>4.1666666666666664E-2</v>
      </c>
      <c r="K265" s="140" t="str">
        <f>IF(FN_MC!AK263="","*",FN_MC!AK263)</f>
        <v>RVD</v>
      </c>
      <c r="L265" s="140" t="str">
        <f>IF(FN_MC!AM263="","*",FN_MC!AM263)</f>
        <v>RVD-TIQ</v>
      </c>
      <c r="M265" s="140">
        <f>IF(FN_MC!AP263="","*",FN_MC!AP263)</f>
        <v>754</v>
      </c>
      <c r="N265" s="140" t="str">
        <f>IF(FN_MC!AM263="","*",FN_MC!AM263)</f>
        <v>RVD-TIQ</v>
      </c>
      <c r="O265" s="169">
        <f>FN_MC!BH263</f>
        <v>2</v>
      </c>
      <c r="P265" s="90"/>
      <c r="Q265" s="144" t="str">
        <f>IF($A$2=1,IF(FN_MC!BJ263="","*",FN_MC!BJ263),IF(FN_MC!BK263="","*",FN_MC!BK263))</f>
        <v xml:space="preserve">Faixa alinhada para as 22h - após finalizar V86 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Em carregamento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2</v>
      </c>
      <c r="P272" s="90"/>
      <c r="Q272" s="144" t="str">
        <f>IF($A$2=1,IF(FN_MC!BJ270="","*",FN_MC!BJ270),IF(FN_MC!BK270="","*",FN_MC!BK270))</f>
        <v xml:space="preserve"> Intervalo das 09:34h as 11:34h - 2 soldas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2</v>
      </c>
      <c r="P275" s="90"/>
      <c r="Q275" s="144" t="str">
        <f>IF($A$2=1,IF(FN_MC!BJ273="","*",FN_MC!BJ273),IF(FN_MC!BK273="","*",FN_MC!BK273))</f>
        <v xml:space="preserve"> licença as 8:17h - em inspeção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2</v>
      </c>
      <c r="P277" s="90"/>
      <c r="Q277" s="144" t="str">
        <f>IF($A$2=1,IF(FN_MC!BJ275="","*",FN_MC!BJ275),IF(FN_MC!BK275="","*",FN_MC!BK275))</f>
        <v>Intervalo as 10:34h até 13:58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2</v>
      </c>
      <c r="P286" s="90"/>
      <c r="Q286" s="144" t="str">
        <f>IF($A$2=1,IF(FN_MC!BJ284="","*",FN_MC!BJ284),IF(FN_MC!BK284="","*",FN_MC!BK284))</f>
        <v>Intervalo das 12:20h as 14:20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2</v>
      </c>
      <c r="P288" s="90"/>
      <c r="Q288" s="144" t="str">
        <f>IF($A$2=1,IF(FN_MC!BJ286="","*",FN_MC!BJ286),IF(FN_MC!BK286="","*",FN_MC!BK286))</f>
        <v>Intervalo das 10:36h as 12:36h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Oportunidade</v>
      </c>
      <c r="C290" s="99" t="str">
        <f>IF(FN_MC!S288="","*",FN_MC!S288)</f>
        <v>MALHA CENTRAL</v>
      </c>
      <c r="D290" s="99" t="str">
        <f>IF(FN_MC!T288="","*",FN_MC!T288)</f>
        <v>PRV-POV</v>
      </c>
      <c r="E290" s="99" t="str">
        <f>IF(FN_MC!D288="","*",FN_MC!D288)</f>
        <v>E14</v>
      </c>
      <c r="F290" s="99" t="str">
        <f>IF(FN_MC!H288="","*",FN_MC!H288)</f>
        <v>PUD</v>
      </c>
      <c r="G290" s="99" t="str">
        <f>IF(FN_MC!M288="","*",FN_MC!M288)</f>
        <v>PUD-K57</v>
      </c>
      <c r="H290" s="149">
        <f>IF(FN_MC!K288="","*",FN_MC!K288)</f>
        <v>2075</v>
      </c>
      <c r="I290" s="131">
        <f>IF(FN_MC!O288="","*",FN_MC!O288)</f>
        <v>0.99930555555555556</v>
      </c>
      <c r="J290" s="131">
        <f>IF(FN_MC!P288="","*",FN_MC!P288)</f>
        <v>4.1666666666666664E-2</v>
      </c>
      <c r="K290" s="140" t="str">
        <f>IF(FN_MC!AK288="","*",FN_MC!AK288)</f>
        <v>PUD</v>
      </c>
      <c r="L290" s="140" t="str">
        <f>IF(FN_MC!AM288="","*",FN_MC!AM288)</f>
        <v>PUD-K57</v>
      </c>
      <c r="M290" s="140">
        <f>IF(FN_MC!AP288="","*",FN_MC!AP288)</f>
        <v>2075</v>
      </c>
      <c r="N290" s="140" t="str">
        <f>IF(FN_MC!AM288="","*",FN_MC!AM288)</f>
        <v>PUD-K57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2</v>
      </c>
      <c r="P291" s="90"/>
      <c r="Q291" s="144" t="str">
        <f>IF($A$2=1,IF(FN_MC!BJ289="","*",FN_MC!BJ289),IF(FN_MC!BK289="","*",FN_MC!BK289))</f>
        <v>MC1 as 09:53h - licença as 10:04h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Oportunidade</v>
      </c>
      <c r="C293" s="99" t="str">
        <f>IF(FN_MC!S291="","*",FN_MC!S291)</f>
        <v>MALHA CENTRAL</v>
      </c>
      <c r="D293" s="99" t="str">
        <f>IF(FN_MC!T291="","*",FN_MC!T291)</f>
        <v>RAMAL</v>
      </c>
      <c r="E293" s="99" t="str">
        <f>IF(FN_MC!D291="","*",FN_MC!D291)</f>
        <v>E48</v>
      </c>
      <c r="F293" s="99" t="str">
        <f>IF(FN_MC!H291="","*",FN_MC!H291)</f>
        <v>ZTP</v>
      </c>
      <c r="G293" s="99" t="str">
        <f>IF(FN_MC!M291="","*",FN_MC!M291)</f>
        <v>ZTP-ZPG</v>
      </c>
      <c r="H293" s="149">
        <f>IF(FN_MC!K291="","*",FN_MC!K291)</f>
        <v>334</v>
      </c>
      <c r="I293" s="131">
        <f>IF(FN_MC!O291="","*",FN_MC!O291)</f>
        <v>0.45833333333333331</v>
      </c>
      <c r="J293" s="131">
        <f>IF(FN_MC!P291="","*",FN_MC!P291)</f>
        <v>4.1666666666666664E-2</v>
      </c>
      <c r="K293" s="140" t="str">
        <f>IF(FN_MC!AK291="","*",FN_MC!AK291)</f>
        <v>ZTP</v>
      </c>
      <c r="L293" s="140" t="str">
        <f>IF(FN_MC!AM291="","*",FN_MC!AM291)</f>
        <v>ZTP-ZPG</v>
      </c>
      <c r="M293" s="140">
        <f>IF(FN_MC!AP291="","*",FN_MC!AP291)</f>
        <v>334</v>
      </c>
      <c r="N293" s="140" t="str">
        <f>IF(FN_MC!AM291="","*",FN_MC!AM291)</f>
        <v>ZTP-ZPG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>
        <f>IF(FN_MC!B295="","*",FN_MC!B295)</f>
        <v>46037</v>
      </c>
      <c r="B297" s="98" t="str">
        <f>IF(FN_MC!X295="","*",FN_MC!X295)</f>
        <v>Contrato</v>
      </c>
      <c r="C297" s="99" t="str">
        <f>IF(FN_MC!S295="","*",FN_MC!S295)</f>
        <v>FERRONORTE</v>
      </c>
      <c r="D297" s="99" t="str">
        <f>IF(FN_MC!T295="","*",FN_MC!T295)</f>
        <v>TGR-TRO</v>
      </c>
      <c r="E297" s="99" t="str">
        <f>IF(FN_MC!D295="","*",FN_MC!D295)</f>
        <v>V86</v>
      </c>
      <c r="F297" s="99" t="str">
        <f>IF(FN_MC!H295="","*",FN_MC!H295)</f>
        <v>TSF1</v>
      </c>
      <c r="G297" s="99" t="str">
        <f>IF(FN_MC!M295="","*",FN_MC!M295)</f>
        <v>TSF-TRO</v>
      </c>
      <c r="H297" s="149">
        <f>IF(FN_MC!K295="","*",FN_MC!K295)</f>
        <v>746</v>
      </c>
      <c r="I297" s="131">
        <f>IF(FN_MC!O295="","*",FN_MC!O295)</f>
        <v>0.4375</v>
      </c>
      <c r="J297" s="131">
        <f>IF(FN_MC!P295="","*",FN_MC!P295)</f>
        <v>0.25</v>
      </c>
      <c r="K297" s="140" t="str">
        <f>IF(FN_MC!AK295="","*",FN_MC!AK295)</f>
        <v>TSF1</v>
      </c>
      <c r="L297" s="140" t="str">
        <f>IF(FN_MC!AM295="","*",FN_MC!AM295)</f>
        <v>TSF-TRO</v>
      </c>
      <c r="M297" s="140">
        <f>IF(FN_MC!AP295="","*",FN_MC!AP295)</f>
        <v>746</v>
      </c>
      <c r="N297" s="140" t="str">
        <f>IF(FN_MC!AM295="","*",FN_MC!AM295)</f>
        <v>TSF-TRO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FERRONORTE</v>
      </c>
      <c r="D300" s="99" t="str">
        <f>IF(FN_MC!T298="","*",FN_MC!T298)</f>
        <v>TGR-TRO</v>
      </c>
      <c r="E300" s="99" t="str">
        <f>IF(FN_MC!D298="","*",FN_MC!D298)</f>
        <v>E46</v>
      </c>
      <c r="F300" s="99" t="str">
        <f>IF(FN_MC!H298="","*",FN_MC!H298)</f>
        <v>TIQ</v>
      </c>
      <c r="G300" s="99" t="str">
        <f>IF(FN_MC!M298="","*",FN_MC!M298)</f>
        <v>TEP</v>
      </c>
      <c r="H300" s="149">
        <f>IF(FN_MC!K298="","*",FN_MC!K298)</f>
        <v>563.93100000000004</v>
      </c>
      <c r="I300" s="131">
        <f>IF(FN_MC!O298="","*",FN_MC!O298)</f>
        <v>0.41666666666666669</v>
      </c>
      <c r="J300" s="131">
        <f>IF(FN_MC!P298="","*",FN_MC!P298)</f>
        <v>8.3333333333333329E-2</v>
      </c>
      <c r="K300" s="140" t="str">
        <f>IF(FN_MC!AK298="","*",FN_MC!AK298)</f>
        <v>TIQ</v>
      </c>
      <c r="L300" s="140" t="str">
        <f>IF(FN_MC!AM298="","*",FN_MC!AM298)</f>
        <v>TEP</v>
      </c>
      <c r="M300" s="140">
        <f>IF(FN_MC!AP298="","*",FN_MC!AP298)</f>
        <v>563.93100000000004</v>
      </c>
      <c r="N300" s="140" t="str">
        <f>IF(FN_MC!AM298="","*",FN_MC!AM298)</f>
        <v>TEP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>
        <f>IF(FN_MC!B301="","*",FN_MC!B301)</f>
        <v>46037</v>
      </c>
      <c r="B303" s="98" t="str">
        <f>IF(FN_MC!X301="","*",FN_MC!X301)</f>
        <v>Contrato</v>
      </c>
      <c r="C303" s="99" t="str">
        <f>IF(FN_MC!S301="","*",FN_MC!S301)</f>
        <v>FERRONORTE</v>
      </c>
      <c r="D303" s="99" t="str">
        <f>IF(FN_MC!T301="","*",FN_MC!T301)</f>
        <v>TGR-TRO</v>
      </c>
      <c r="E303" s="99" t="str">
        <f>IF(FN_MC!D301="","*",FN_MC!D301)</f>
        <v>W70</v>
      </c>
      <c r="F303" s="99" t="str">
        <f>IF(FN_MC!H301="","*",FN_MC!H301)</f>
        <v>TGR/TIQ2</v>
      </c>
      <c r="G303" s="99" t="str">
        <f>IF(FN_MC!M301="","*",FN_MC!M301)</f>
        <v>TAL-TSF</v>
      </c>
      <c r="H303" s="149">
        <f>IF(FN_MC!K301="","*",FN_MC!K301)</f>
        <v>718.3</v>
      </c>
      <c r="I303" s="131">
        <f>IF(FN_MC!O301="","*",FN_MC!O301)</f>
        <v>0.41666666666666669</v>
      </c>
      <c r="J303" s="131">
        <f>IF(FN_MC!P301="","*",FN_MC!P301)</f>
        <v>0.125</v>
      </c>
      <c r="K303" s="140" t="str">
        <f>IF(FN_MC!AK301="","*",FN_MC!AK301)</f>
        <v>TGR/TIQ2</v>
      </c>
      <c r="L303" s="140" t="str">
        <f>IF(FN_MC!AM301="","*",FN_MC!AM301)</f>
        <v>TAL-TSF</v>
      </c>
      <c r="M303" s="140">
        <f>IF(FN_MC!AP301="","*",FN_MC!AP301)</f>
        <v>718.3</v>
      </c>
      <c r="N303" s="140" t="str">
        <f>IF(FN_MC!AM301="","*",FN_MC!AM301)</f>
        <v>TAL-TSF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>
        <f>IF(FN_MC!B303="","*",FN_MC!B303)</f>
        <v>46037</v>
      </c>
      <c r="B305" s="98" t="str">
        <f>IF(FN_MC!X303="","*",FN_MC!X303)</f>
        <v>Oportunidade</v>
      </c>
      <c r="C305" s="99" t="str">
        <f>IF(FN_MC!S303="","*",FN_MC!S303)</f>
        <v>FERRONORTE</v>
      </c>
      <c r="D305" s="99" t="str">
        <f>IF(FN_MC!T303="","*",FN_MC!T303)</f>
        <v>TGR-TRO</v>
      </c>
      <c r="E305" s="99" t="str">
        <f>IF(FN_MC!D303="","*",FN_MC!D303)</f>
        <v>A60</v>
      </c>
      <c r="F305" s="99" t="str">
        <f>IF(FN_MC!H303="","*",FN_MC!H303)</f>
        <v>TGR</v>
      </c>
      <c r="G305" s="99" t="str">
        <f>IF(FN_MC!M303="","*",FN_MC!M303)</f>
        <v>TGR-TAL</v>
      </c>
      <c r="H305" s="149">
        <f>IF(FN_MC!K303="","*",FN_MC!K303)</f>
        <v>502</v>
      </c>
      <c r="I305" s="131">
        <f>IF(FN_MC!O303="","*",FN_MC!O303)</f>
        <v>0.33333333333333331</v>
      </c>
      <c r="J305" s="131">
        <f>IF(FN_MC!P303="","*",FN_MC!P303)</f>
        <v>4.1666666666666664E-2</v>
      </c>
      <c r="K305" s="140" t="str">
        <f>IF(FN_MC!AK303="","*",FN_MC!AK303)</f>
        <v>TGR</v>
      </c>
      <c r="L305" s="140" t="str">
        <f>IF(FN_MC!AM303="","*",FN_MC!AM303)</f>
        <v>TGR-TAL</v>
      </c>
      <c r="M305" s="140">
        <f>IF(FN_MC!AP303="","*",FN_MC!AP303)</f>
        <v>502</v>
      </c>
      <c r="N305" s="140" t="str">
        <f>IF(FN_MC!AM303="","*",FN_MC!AM303)</f>
        <v>TGR-TAL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>
        <f>IF(FN_MC!B305="","*",FN_MC!B305)</f>
        <v>46037</v>
      </c>
      <c r="B307" s="98" t="str">
        <f>IF(FN_MC!X305="","*",FN_MC!X305)</f>
        <v>Oportunidade</v>
      </c>
      <c r="C307" s="99" t="str">
        <f>IF(FN_MC!S305="","*",FN_MC!S305)</f>
        <v>FERRONORTE</v>
      </c>
      <c r="D307" s="99" t="str">
        <f>IF(FN_MC!T305="","*",FN_MC!T305)</f>
        <v>TCS-TGR</v>
      </c>
      <c r="E307" s="99" t="str">
        <f>IF(FN_MC!D305="","*",FN_MC!D305)</f>
        <v>ELSON (TF-526)</v>
      </c>
      <c r="F307" s="99" t="str">
        <f>IF(FN_MC!H305="","*",FN_MC!H305)</f>
        <v>TPC440</v>
      </c>
      <c r="G307" s="99" t="str">
        <f>IF(FN_MC!M305="","*",FN_MC!M305)</f>
        <v>TPC-TVL</v>
      </c>
      <c r="H307" s="149">
        <f>IF(FN_MC!K305="","*",FN_MC!K305)</f>
        <v>431.2</v>
      </c>
      <c r="I307" s="131">
        <f>IF(FN_MC!O305="","*",FN_MC!O305)</f>
        <v>0.375</v>
      </c>
      <c r="J307" s="131">
        <f>IF(FN_MC!P305="","*",FN_MC!P305)</f>
        <v>8.3333333333333329E-2</v>
      </c>
      <c r="K307" s="140" t="str">
        <f>IF(FN_MC!AK305="","*",FN_MC!AK305)</f>
        <v>TPC440</v>
      </c>
      <c r="L307" s="140" t="str">
        <f>IF(FN_MC!AM305="","*",FN_MC!AM305)</f>
        <v>TPC-TVL</v>
      </c>
      <c r="M307" s="140">
        <f>IF(FN_MC!AP305="","*",FN_MC!AP305)</f>
        <v>431.2</v>
      </c>
      <c r="N307" s="140" t="str">
        <f>IF(FN_MC!AM305="","*",FN_MC!AM305)</f>
        <v>TPC-TVL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>
        <f>IF(FN_MC!B309="","*",FN_MC!B309)</f>
        <v>46037</v>
      </c>
      <c r="B311" s="98" t="str">
        <f>IF(FN_MC!X309="","*",FN_MC!X309)</f>
        <v>Oportunidade</v>
      </c>
      <c r="C311" s="99" t="str">
        <f>IF(FN_MC!S309="","*",FN_MC!S309)</f>
        <v>FERRONORTE</v>
      </c>
      <c r="D311" s="99" t="str">
        <f>IF(FN_MC!T309="","*",FN_MC!T309)</f>
        <v>TMI-TCS</v>
      </c>
      <c r="E311" s="99" t="str">
        <f>IF(FN_MC!D309="","*",FN_MC!D309)</f>
        <v>V66</v>
      </c>
      <c r="F311" s="99" t="str">
        <f>IF(FN_MC!H309="","*",FN_MC!H309)</f>
        <v>TID</v>
      </c>
      <c r="G311" s="99" t="str">
        <f>IF(FN_MC!M309="","*",FN_MC!M309)</f>
        <v>TCE</v>
      </c>
      <c r="H311" s="149">
        <f>IF(FN_MC!K309="","*",FN_MC!K309)</f>
        <v>165</v>
      </c>
      <c r="I311" s="131">
        <f>IF(FN_MC!O309="","*",FN_MC!O309)</f>
        <v>0.375</v>
      </c>
      <c r="J311" s="131">
        <f>IF(FN_MC!P309="","*",FN_MC!P309)</f>
        <v>0.125</v>
      </c>
      <c r="K311" s="140" t="str">
        <f>IF(FN_MC!AK309="","*",FN_MC!AK309)</f>
        <v>TID</v>
      </c>
      <c r="L311" s="140" t="str">
        <f>IF(FN_MC!AM309="","*",FN_MC!AM309)</f>
        <v>TCE</v>
      </c>
      <c r="M311" s="140">
        <f>IF(FN_MC!AP309="","*",FN_MC!AP309)</f>
        <v>165</v>
      </c>
      <c r="N311" s="140" t="str">
        <f>IF(FN_MC!AM309="","*",FN_MC!AM309)</f>
        <v>TCE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>
        <f>IF(FN_MC!B312="","*",FN_MC!B312)</f>
        <v>46037</v>
      </c>
      <c r="B314" s="98" t="str">
        <f>IF(FN_MC!X312="","*",FN_MC!X312)</f>
        <v>Oportunidade</v>
      </c>
      <c r="C314" s="99" t="str">
        <f>IF(FN_MC!S312="","*",FN_MC!S312)</f>
        <v>FERRONORTE</v>
      </c>
      <c r="D314" s="99" t="str">
        <f>IF(FN_MC!T312="","*",FN_MC!T312)</f>
        <v>TMI-TCS</v>
      </c>
      <c r="E314" s="99" t="str">
        <f>IF(FN_MC!D312="","*",FN_MC!D312)</f>
        <v>MARCOS (TF-520)</v>
      </c>
      <c r="F314" s="99" t="str">
        <f>IF(FN_MC!H312="","*",FN_MC!H312)</f>
        <v>K73TSP</v>
      </c>
      <c r="G314" s="99" t="str">
        <f>IF(FN_MC!M312="","*",FN_MC!M312)</f>
        <v>TQI-TSP</v>
      </c>
      <c r="H314" s="149">
        <f>IF(FN_MC!K312="","*",FN_MC!K312)</f>
        <v>80.3</v>
      </c>
      <c r="I314" s="131">
        <f>IF(FN_MC!O312="","*",FN_MC!O312)</f>
        <v>0.375</v>
      </c>
      <c r="J314" s="131">
        <f>IF(FN_MC!P312="","*",FN_MC!P312)</f>
        <v>8.3333333333333329E-2</v>
      </c>
      <c r="K314" s="140" t="str">
        <f>IF(FN_MC!AK312="","*",FN_MC!AK312)</f>
        <v>K73TSP</v>
      </c>
      <c r="L314" s="140" t="str">
        <f>IF(FN_MC!AM312="","*",FN_MC!AM312)</f>
        <v>TQI-TSP</v>
      </c>
      <c r="M314" s="140">
        <f>IF(FN_MC!AP312="","*",FN_MC!AP312)</f>
        <v>80.3</v>
      </c>
      <c r="N314" s="140" t="str">
        <f>IF(FN_MC!AM312="","*",FN_MC!AM312)</f>
        <v>TQI-TSP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>
        <f>IF(FN_MC!B319="","*",FN_MC!B319)</f>
        <v>46037</v>
      </c>
      <c r="B321" s="98" t="str">
        <f>IF(FN_MC!X319="","*",FN_MC!X319)</f>
        <v>Oportunidade</v>
      </c>
      <c r="C321" s="99" t="str">
        <f>IF(FN_MC!S319="","*",FN_MC!S319)</f>
        <v>MALHA CENTRAL</v>
      </c>
      <c r="D321" s="99" t="str">
        <f>IF(FN_MC!T319="","*",FN_MC!T319)</f>
        <v>RAMAL</v>
      </c>
      <c r="E321" s="99" t="str">
        <f>IF(FN_MC!D319="","*",FN_MC!D319)</f>
        <v>A88</v>
      </c>
      <c r="F321" s="99" t="str">
        <f>IF(FN_MC!H319="","*",FN_MC!H319)</f>
        <v>ZFH2</v>
      </c>
      <c r="G321" s="99" t="str">
        <f>IF(FN_MC!M319="","*",FN_MC!M319)</f>
        <v>ZQY-ZFH</v>
      </c>
      <c r="H321" s="149">
        <f>IF(FN_MC!K319="","*",FN_MC!K319)</f>
        <v>189.45</v>
      </c>
      <c r="I321" s="131">
        <f>IF(FN_MC!O319="","*",FN_MC!O319)</f>
        <v>0.375</v>
      </c>
      <c r="J321" s="131">
        <f>IF(FN_MC!P319="","*",FN_MC!P319)</f>
        <v>4.1666666666666664E-2</v>
      </c>
      <c r="K321" s="140" t="str">
        <f>IF(FN_MC!AK319="","*",FN_MC!AK319)</f>
        <v>ZFH2</v>
      </c>
      <c r="L321" s="140" t="str">
        <f>IF(FN_MC!AM319="","*",FN_MC!AM319)</f>
        <v>ZQY-ZFH</v>
      </c>
      <c r="M321" s="140">
        <f>IF(FN_MC!AP319="","*",FN_MC!AP319)</f>
        <v>189.45</v>
      </c>
      <c r="N321" s="140" t="str">
        <f>IF(FN_MC!AM319="","*",FN_MC!AM319)</f>
        <v>ZQY-ZFH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Oportunidade</v>
      </c>
      <c r="C324" s="99" t="str">
        <f>IF(FN_MC!S322="","*",FN_MC!S322)</f>
        <v>MALHA CENTRAL</v>
      </c>
      <c r="D324" s="99" t="str">
        <f>IF(FN_MC!T322="","*",FN_MC!T322)</f>
        <v>RAMAL</v>
      </c>
      <c r="E324" s="99" t="str">
        <f>IF(FN_MC!D322="","*",FN_MC!D322)</f>
        <v>E48</v>
      </c>
      <c r="F324" s="99" t="str">
        <f>IF(FN_MC!H322="","*",FN_MC!H322)</f>
        <v>ZTP</v>
      </c>
      <c r="G324" s="99" t="str">
        <f>IF(FN_MC!M322="","*",FN_MC!M322)</f>
        <v>ZTP-ZPG</v>
      </c>
      <c r="H324" s="149">
        <f>IF(FN_MC!K322="","*",FN_MC!K322)</f>
        <v>334</v>
      </c>
      <c r="I324" s="131">
        <f>IF(FN_MC!O322="","*",FN_MC!O322)</f>
        <v>0.45833333333333331</v>
      </c>
      <c r="J324" s="131">
        <f>IF(FN_MC!P322="","*",FN_MC!P322)</f>
        <v>4.1666666666666664E-2</v>
      </c>
      <c r="K324" s="140" t="str">
        <f>IF(FN_MC!AK322="","*",FN_MC!AK322)</f>
        <v>ZTP</v>
      </c>
      <c r="L324" s="140" t="str">
        <f>IF(FN_MC!AM322="","*",FN_MC!AM322)</f>
        <v>ZTP-ZPG</v>
      </c>
      <c r="M324" s="140">
        <f>IF(FN_MC!AP322="","*",FN_MC!AP322)</f>
        <v>334</v>
      </c>
      <c r="N324" s="140" t="str">
        <f>IF(FN_MC!AM322="","*",FN_MC!AM322)</f>
        <v>ZTP-ZPG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MALHA CENTRAL</v>
      </c>
      <c r="D327" s="99" t="str">
        <f>IF(FN_MC!T325="","*",FN_MC!T325)</f>
        <v>RAMAL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ZBO-ZEP</v>
      </c>
      <c r="H327" s="149">
        <f>IF(FN_MC!K325="","*",FN_MC!K325)</f>
        <v>208.5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ZBO-ZEP</v>
      </c>
      <c r="M327" s="140">
        <f>IF(FN_MC!AP325="","*",FN_MC!AP325)</f>
        <v>208.5</v>
      </c>
      <c r="N327" s="140" t="str">
        <f>IF(FN_MC!AM325="","*",FN_MC!AM325)</f>
        <v>ZBO-ZEP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1616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Felipe Guedes de Oliveira</cp:lastModifiedBy>
  <cp:revision/>
  <dcterms:created xsi:type="dcterms:W3CDTF">2025-05-05T12:15:43Z</dcterms:created>
  <dcterms:modified xsi:type="dcterms:W3CDTF">2026-01-15T11:43:38Z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