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307" documentId="120_S{118792C3-22EF-5104-A093-F22BFE3913F3}" xr6:coauthVersionLast="47" xr6:coauthVersionMax="47" xr10:uidLastSave="{36127DB5-99D8-4433-B66D-F3392EDEB31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33" i="1" l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 s="1"/>
  <c r="BR7" i="1"/>
  <c r="BS7" i="1"/>
  <c r="BT7" i="1"/>
  <c r="A8" i="1"/>
  <c r="C8" i="1"/>
  <c r="G8" i="1"/>
  <c r="M8" i="1" a="1"/>
  <c r="M8" i="1"/>
  <c r="K5" i="15" s="1"/>
  <c r="N8" i="1" a="1"/>
  <c r="N8" i="1" s="1"/>
  <c r="R8" i="1"/>
  <c r="S8" i="1" a="1"/>
  <c r="S8" i="1" s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O8" i="1"/>
  <c r="BE8" i="1" s="1" a="1"/>
  <c r="BE8" i="1" s="1"/>
  <c r="AP8" i="1"/>
  <c r="M9" i="10" s="1"/>
  <c r="AQ8" i="1"/>
  <c r="BB8" i="1"/>
  <c r="BR8" i="1"/>
  <c r="BS8" i="1"/>
  <c r="BT8" i="1"/>
  <c r="A9" i="1"/>
  <c r="C9" i="1"/>
  <c r="G9" i="1"/>
  <c r="M9" i="1" a="1"/>
  <c r="M9" i="1" s="1"/>
  <c r="N9" i="1" a="1"/>
  <c r="N9" i="1"/>
  <c r="L6" i="15" s="1"/>
  <c r="R9" i="1"/>
  <c r="S9" i="1" a="1"/>
  <c r="S9" i="1" s="1"/>
  <c r="D6" i="15" s="1"/>
  <c r="T9" i="1" a="1"/>
  <c r="T9" i="1"/>
  <c r="E6" i="15" s="1"/>
  <c r="U9" i="1" a="1"/>
  <c r="U9" i="1" s="1"/>
  <c r="AI9" i="1"/>
  <c r="AJ9" i="1"/>
  <c r="AK9" i="1"/>
  <c r="K10" i="10" s="1"/>
  <c r="AL9" i="1"/>
  <c r="AO9" i="1"/>
  <c r="AP9" i="1"/>
  <c r="M10" i="10" s="1"/>
  <c r="AQ9" i="1"/>
  <c r="BB9" i="1"/>
  <c r="BE9" i="1" a="1"/>
  <c r="BE9" i="1" s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 s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 s="1"/>
  <c r="BR10" i="1"/>
  <c r="BS10" i="1"/>
  <c r="BT10" i="1"/>
  <c r="A11" i="1"/>
  <c r="C11" i="1"/>
  <c r="G11" i="1"/>
  <c r="M11" i="1" a="1"/>
  <c r="M11" i="1"/>
  <c r="K8" i="15" s="1"/>
  <c r="N11" i="1" a="1"/>
  <c r="N11" i="1" s="1"/>
  <c r="R11" i="1"/>
  <c r="S11" i="1" a="1"/>
  <c r="S11" i="1" s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O11" i="1"/>
  <c r="BE11" i="1" s="1" a="1"/>
  <c r="BE11" i="1" s="1"/>
  <c r="AP11" i="1"/>
  <c r="M12" i="10" s="1"/>
  <c r="AQ11" i="1"/>
  <c r="BB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/>
  <c r="AI14" i="1"/>
  <c r="AJ14" i="1"/>
  <c r="K15" i="10"/>
  <c r="AO14" i="1"/>
  <c r="M15" i="10"/>
  <c r="BB14" i="1"/>
  <c r="BE14" i="1" a="1"/>
  <c r="BE14" i="1" s="1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 s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 s="1"/>
  <c r="AI18" i="1"/>
  <c r="AJ18" i="1"/>
  <c r="AK18" i="1"/>
  <c r="K19" i="10" s="1"/>
  <c r="AL18" i="1"/>
  <c r="AO18" i="1"/>
  <c r="AP18" i="1"/>
  <c r="M19" i="10" s="1"/>
  <c r="AQ18" i="1"/>
  <c r="BB18" i="1"/>
  <c r="BE18" i="1" a="1"/>
  <c r="BE18" i="1" s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 s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 s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 s="1"/>
  <c r="R24" i="1"/>
  <c r="S24" i="1" a="1"/>
  <c r="S24" i="1" s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O24" i="1"/>
  <c r="BE24" i="1" s="1" a="1"/>
  <c r="BE24" i="1" s="1"/>
  <c r="AP24" i="1"/>
  <c r="M25" i="10" s="1"/>
  <c r="AQ24" i="1"/>
  <c r="BB24" i="1"/>
  <c r="BR24" i="1"/>
  <c r="BS24" i="1"/>
  <c r="BT24" i="1"/>
  <c r="A25" i="1"/>
  <c r="C25" i="1"/>
  <c r="G25" i="1"/>
  <c r="M25" i="1" a="1"/>
  <c r="M25" i="1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 s="1"/>
  <c r="AI25" i="1"/>
  <c r="AJ25" i="1"/>
  <c r="AK25" i="1"/>
  <c r="K26" i="10" s="1"/>
  <c r="AL25" i="1"/>
  <c r="AO25" i="1"/>
  <c r="AP25" i="1"/>
  <c r="M26" i="10" s="1"/>
  <c r="AQ25" i="1"/>
  <c r="BB25" i="1"/>
  <c r="BE25" i="1" a="1"/>
  <c r="BE25" i="1" s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 s="1"/>
  <c r="E23" i="15" s="1"/>
  <c r="U26" i="1" a="1"/>
  <c r="U26" i="1"/>
  <c r="AI26" i="1"/>
  <c r="AJ26" i="1"/>
  <c r="AK26" i="1"/>
  <c r="K27" i="10" s="1"/>
  <c r="AL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/>
  <c r="E24" i="15" s="1"/>
  <c r="U27" i="1" a="1"/>
  <c r="U27" i="1" s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 s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 s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 s="1"/>
  <c r="R31" i="1"/>
  <c r="S31" i="1" a="1"/>
  <c r="S31" i="1" s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K324" i="15"/>
  <c r="L324" i="15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K325" i="15"/>
  <c r="L325" i="15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K22" i="15" l="1"/>
  <c r="AM25" i="1"/>
  <c r="L21" i="15"/>
  <c r="AN24" i="1"/>
  <c r="L5" i="15"/>
  <c r="AN8" i="1"/>
  <c r="K15" i="15"/>
  <c r="AM18" i="1"/>
  <c r="L8" i="15"/>
  <c r="AN11" i="1"/>
  <c r="L28" i="15"/>
  <c r="AN31" i="1"/>
  <c r="K6" i="15"/>
  <c r="AM9" i="1"/>
  <c r="AM26" i="1"/>
  <c r="AM32" i="1"/>
  <c r="AN25" i="1"/>
  <c r="AM24" i="1"/>
  <c r="AN18" i="1"/>
  <c r="AM11" i="1"/>
  <c r="AN9" i="1"/>
  <c r="AN230" i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<sst xmlns="http://schemas.openxmlformats.org/spreadsheetml/2006/main" count="7164" uniqueCount="1526">
  <si>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</si>
  <si>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</si>
  <si>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</si>
  <si>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</si>
  <si>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</si>
  <si>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</si>
  <si>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</si>
  <si>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</si>
  <si>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</si>
  <si>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</si>
  <si>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</si>
  <si>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</si>
  <si>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</si>
  <si>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</si>
  <si>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</si>
  <si>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</si>
  <si>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</si>
  <si>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</si>
  <si>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</si>
  <si>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</si>
  <si>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</si>
  <si>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</si>
  <si>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</si>
  <si>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</si>
  <si>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</si>
  <si>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</si>
  <si>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</si>
  <si>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</si>
  <si>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</si>
  <si>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</si>
  <si>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</si>
  <si>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</si>
  <si>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</si>
  <si>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</si>
  <si>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</si>
  <si>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</si>
  <si>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</si>
  <si>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</si>
  <si>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</si>
  <si>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</si>
  <si>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</si>
  <si>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</si>
  <si>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</si>
  <si>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</si>
  <si>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</si>
  <si>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</si>
  <si>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</si>
  <si>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</si>
  <si>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</si>
  <si>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</si>
  <si>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</si>
  <si>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</si>
  <si>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</si>
  <si>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</si>
  <si>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</si>
  <si>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</si>
  <si>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</si>
  <si>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</si>
  <si>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</si>
  <si>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</si>
  <si>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</si>
  <si>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</si>
  <si>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</si>
  <si>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</si>
  <si>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</si>
  <si>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</si>
  <si>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</si>
  <si>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</si>
  <si>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</si>
  <si>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</si>
  <si>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</si>
  <si>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</si>
  <si>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</si>
  <si>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</si>
  <si>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</si>
  <si>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</si>
  <si>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</si>
  <si>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</si>
  <si>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</si>
  <si>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</si>
  <si>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</si>
  <si>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</si>
  <si>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</si>
  <si>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</si>
  <si>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</si>
  <si>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</si>
  <si>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</si>
  <si>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</si>
  <si>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</si>
  <si>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</si>
  <si>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</si>
  <si>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</si>
  <si>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</si>
  <si>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</si>
  <si>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</si>
  <si>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</si>
  <si>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</si>
  <si>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</si>
  <si>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</si>
  <si>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</si>
  <si>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</si>
  <si>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</si>
  <si>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</si>
  <si>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</si>
  <si>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</si>
  <si>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</si>
  <si>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</si>
  <si>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</si>
  <si>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</si>
  <si>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</si>
  <si>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</si>
  <si>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</si>
  <si>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</si>
  <si>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</si>
  <si>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</si>
  <si>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</si>
  <si>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</si>
  <si>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</si>
  <si>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</si>
  <si>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</si>
  <si>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</si>
  <si>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</si>
  <si>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</si>
  <si>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</si>
  <si>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</si>
  <si>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</si>
  <si>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</si>
  <si>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</si>
  <si>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</si>
  <si>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</si>
  <si>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</si>
  <si>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</si>
  <si>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</si>
  <si>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</si>
  <si>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</si>
  <si>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</si>
  <si>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</si>
  <si>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</si>
  <si>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</si>
  <si>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</si>
  <si>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</si>
  <si>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</si>
  <si>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</si>
  <si>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</si>
  <si>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</si>
  <si>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</si>
  <si>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</si>
  <si>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</si>
  <si>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</si>
  <si>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</si>
  <si>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</si>
  <si>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</si>
  <si>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</si>
  <si>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</si>
  <si>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</si>
  <si>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</si>
  <si>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</si>
  <si>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</si>
  <si>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</si>
  <si>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</si>
  <si>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</si>
  <si>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</si>
  <si>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</si>
  <si>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</si>
  <si>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</si>
  <si>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</si>
  <si>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</si>
  <si>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</si>
  <si>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</si>
  <si>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</si>
  <si>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</si>
  <si>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</si>
  <si>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</si>
  <si>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</si>
  <si>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</si>
  <si>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</si>
  <si>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</si>
  <si>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</si>
  <si>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</si>
  <si>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</si>
  <si>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</si>
  <si>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</si>
  <si>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</si>
  <si>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</si>
  <si>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</si>
  <si>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</si>
  <si>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</si>
  <si>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</si>
  <si>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</si>
  <si>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</si>
  <si>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</si>
  <si>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</si>
  <si>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</si>
  <si>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</si>
  <si>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</si>
  <si>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</si>
  <si>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</si>
  <si>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</si>
  <si>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</si>
  <si>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</si>
  <si>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</si>
  <si>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</si>
  <si>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</si>
  <si>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</si>
  <si>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</si>
  <si>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</si>
  <si>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</si>
  <si>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</si>
  <si>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</si>
  <si>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</si>
  <si>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</si>
  <si>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</si>
  <si>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</si>
  <si>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</si>
  <si>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</si>
  <si>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</si>
  <si>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</si>
  <si>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</si>
  <si>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</si>
  <si>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</si>
  <si>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</si>
  <si>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</si>
  <si>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</si>
  <si>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</si>
  <si>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</si>
  <si>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</si>
  <si>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</si>
  <si>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</si>
  <si>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</si>
  <si>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</si>
  <si>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</si>
  <si>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</si>
  <si>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</si>
  <si>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</si>
  <si>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</si>
  <si>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</si>
  <si>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</si>
  <si>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</si>
  <si>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</si>
  <si>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</si>
  <si>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</si>
  <si>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</si>
  <si>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</si>
  <si>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</si>
  <si>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</si>
  <si>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</si>
  <si>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</si>
  <si>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</si>
  <si>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</si>
  <si>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</si>
  <si>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</si>
  <si>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</si>
  <si>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</si>
  <si>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</si>
  <si>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</si>
  <si>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</si>
  <si>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</si>
  <si>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</si>
  <si>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</si>
  <si>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</si>
  <si>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</si>
  <si>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</si>
  <si>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</si>
  <si>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</si>
  <si>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</si>
  <si>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</si>
  <si>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</si>
  <si>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</si>
  <si>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</si>
  <si>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</si>
  <si>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</si>
  <si>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</si>
  <si>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</si>
  <si>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</si>
  <si>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</si>
  <si>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</si>
  <si>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</si>
  <si>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</si>
  <si>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</si>
  <si>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</si>
  <si>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</si>
  <si>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</si>
  <si>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</si>
  <si>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</si>
  <si>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</si>
  <si>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</si>
  <si>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</si>
  <si>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</si>
  <si>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</si>
  <si>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</si>
  <si>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</si>
  <si>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</si>
  <si>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</si>
  <si>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</si>
  <si>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</si>
  <si>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</si>
  <si>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</si>
  <si>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</si>
  <si>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</si>
  <si>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</si>
  <si>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</si>
  <si>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</si>
  <si>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</si>
  <si>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</si>
  <si>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</si>
  <si>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</si>
  <si>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</si>
  <si>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</si>
  <si>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</si>
  <si>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</si>
  <si>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</si>
  <si>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</si>
  <si>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</si>
  <si>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</si>
  <si>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</si>
  <si>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</si>
  <si>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</si>
  <si>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</si>
  <si>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</si>
  <si>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</si>
  <si>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</si>
  <si>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</si>
  <si>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</si>
  <si>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</si>
  <si>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</si>
  <si>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</si>
  <si>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</si>
  <si>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</si>
  <si>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</si>
  <si>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</si>
  <si>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</si>
  <si>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</si>
  <si>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</si>
  <si>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</si>
  <si>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</si>
  <si>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</si>
  <si>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</si>
  <si>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</si>
  <si>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</si>
  <si>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</si>
  <si>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</si>
  <si>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</si>
  <si>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</si>
  <si>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</si>
  <si>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</si>
  <si>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</si>
  <si>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</si>
  <si>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</si>
  <si>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</si>
  <si>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</si>
  <si>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</si>
  <si>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</si>
  <si>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</si>
  <si>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</si>
  <si>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</si>
  <si>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</si>
  <si>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</si>
  <si>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</si>
  <si>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</si>
  <si>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</si>
  <si>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</si>
  <si>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</si>
  <si>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</si>
  <si>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</si>
  <si>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</si>
  <si>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</si>
  <si>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</si>
  <si>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</si>
  <si>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</si>
  <si>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</si>
  <si>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</si>
  <si>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</si>
  <si>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</si>
  <si>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</si>
  <si>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</si>
  <si>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</si>
  <si>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</si>
  <si>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</si>
  <si>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</si>
  <si>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</si>
  <si>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</si>
  <si>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</si>
  <si>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</si>
  <si>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</si>
  <si>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</si>
  <si>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</si>
  <si>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</si>
  <si>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</si>
  <si>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</si>
  <si>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</si>
  <si>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</si>
  <si>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</si>
  <si>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</si>
  <si>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</si>
  <si>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</si>
  <si>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</si>
  <si>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</si>
  <si>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</si>
  <si>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</si>
  <si>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</si>
  <si>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</si>
  <si>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</si>
  <si>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</si>
  <si>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</si>
  <si>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</si>
  <si>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</si>
  <si>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</si>
  <si>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</si>
  <si>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</si>
  <si>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</si>
  <si>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</si>
  <si>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</si>
  <si>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</si>
  <si>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</si>
  <si>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</si>
  <si>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</si>
  <si>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</si>
  <si>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</si>
  <si>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</si>
  <si>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</si>
  <si>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</si>
  <si>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</si>
  <si>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</si>
  <si>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</si>
  <si>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</si>
  <si>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</si>
  <si>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</si>
  <si>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</si>
  <si>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</si>
  <si>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</si>
  <si>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</si>
  <si>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</si>
  <si>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</si>
  <si>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</si>
  <si>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</si>
  <si>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</si>
  <si>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</si>
  <si>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</si>
  <si>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</si>
  <si>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</si>
  <si>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</si>
  <si>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</si>
  <si>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</si>
  <si>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</si>
  <si>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</si>
  <si>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</si>
  <si>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</si>
  <si>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</si>
  <si>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</si>
  <si>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</si>
  <si>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</si>
  <si>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</si>
  <si>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</si>
  <si>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</si>
  <si>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</si>
  <si>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</si>
  <si>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</si>
  <si>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</si>
  <si>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</si>
  <si>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</si>
  <si>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</si>
  <si>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</si>
  <si>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</si>
  <si>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</si>
  <si>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</si>
  <si>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</si>
  <si>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</si>
  <si>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</si>
  <si>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</si>
  <si>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</si>
  <si>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</si>
  <si>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</si>
  <si>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</si>
  <si>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</si>
  <si>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</si>
  <si>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</si>
  <si>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</si>
  <si>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</si>
  <si>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</si>
  <si>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</si>
  <si>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</si>
  <si>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</si>
  <si>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</si>
  <si>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</si>
  <si>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</si>
  <si>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</si>
  <si>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</si>
  <si>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</si>
  <si>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</si>
  <si>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</si>
  <si>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</si>
  <si>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</si>
  <si>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</si>
  <si>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</si>
  <si>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</si>
  <si>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</si>
  <si>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</si>
  <si>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</si>
  <si>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</si>
  <si>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</si>
  <si>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</si>
  <si>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</si>
  <si>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</si>
  <si>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</si>
  <si>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</si>
  <si>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</si>
  <si>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</si>
  <si>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</si>
  <si>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</si>
  <si>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</si>
  <si>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</si>
  <si>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</si>
  <si>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</si>
  <si>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</si>
  <si>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</si>
  <si>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</si>
  <si>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</si>
  <si>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</si>
  <si>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</si>
  <si>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</si>
  <si>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</si>
  <si>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</si>
  <si>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</si>
  <si>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</si>
  <si>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</si>
  <si>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</si>
  <si>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</si>
  <si>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</si>
  <si>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</si>
  <si>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</si>
  <si>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</si>
  <si>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</si>
  <si>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</si>
  <si>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</si>
  <si>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</si>
  <si>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</si>
  <si>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</si>
  <si>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</si>
  <si>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</si>
  <si>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</si>
  <si>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</si>
  <si>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</si>
  <si>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</si>
  <si>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</si>
  <si>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</si>
  <si>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</si>
  <si>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</si>
  <si>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</si>
  <si>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</si>
  <si>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</si>
  <si>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</si>
  <si>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</si>
  <si>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</si>
  <si>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</si>
  <si>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</si>
  <si>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</si>
  <si>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</si>
  <si>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</si>
  <si>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</si>
  <si>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</si>
  <si>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</si>
  <si>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</si>
  <si>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</si>
  <si>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</si>
  <si>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</si>
  <si>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</si>
  <si>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</si>
  <si>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</si>
  <si>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</si>
  <si>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</si>
  <si>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</si>
  <si>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</si>
  <si>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</si>
  <si>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</si>
  <si>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</si>
  <si>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</si>
  <si>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</si>
  <si>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</si>
  <si>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</si>
  <si>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</si>
  <si>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</si>
  <si>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</si>
  <si>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</si>
  <si>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</si>
  <si>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</si>
  <si>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</si>
  <si>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</si>
  <si>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</si>
  <si>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</si>
  <si>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</si>
  <si>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</si>
  <si>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</si>
  <si>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</si>
  <si>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</si>
  <si>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</si>
  <si>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</si>
  <si>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</si>
  <si>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</si>
  <si>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</si>
  <si>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</si>
  <si>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</si>
  <si>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</si>
  <si>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</si>
  <si>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</si>
  <si>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</si>
  <si>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</si>
  <si>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</si>
  <si>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</si>
  <si>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</si>
  <si>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</si>
  <si>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</si>
  <si>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</si>
  <si>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</si>
  <si>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</si>
  <si>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</si>
  <si>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</si>
  <si>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</si>
  <si>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</si>
  <si>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</si>
  <si>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</si>
  <si>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</si>
  <si>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</si>
  <si>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</si>
  <si>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</si>
  <si>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</si>
  <si>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</si>
  <si>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</si>
  <si>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</si>
  <si>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</si>
  <si>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</si>
  <si>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</si>
  <si>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</si>
  <si>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</si>
  <si>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</si>
  <si>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</si>
  <si>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</si>
  <si>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</si>
  <si>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</si>
  <si>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</si>
  <si>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</si>
  <si>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</si>
  <si>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</si>
  <si>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</si>
  <si>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</si>
  <si>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</si>
  <si>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</si>
  <si>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</si>
  <si>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</si>
  <si>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</si>
  <si>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</si>
  <si>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</si>
  <si>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</si>
  <si>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</si>
  <si>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</si>
  <si>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</si>
  <si>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</si>
  <si>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</si>
  <si>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</si>
  <si>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</si>
  <si>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</si>
  <si>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</si>
  <si>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</si>
  <si>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</si>
  <si>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</si>
  <si>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</si>
  <si>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</si>
  <si>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</si>
  <si>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</si>
  <si>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</si>
  <si>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</si>
  <si>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</si>
  <si>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</si>
  <si>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</si>
  <si>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</si>
  <si>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</si>
  <si>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</si>
  <si>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</si>
  <si>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</si>
  <si>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</si>
  <si>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</si>
  <si>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</si>
  <si>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</si>
  <si>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</si>
  <si>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</si>
  <si>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</si>
  <si>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</si>
  <si>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</si>
  <si>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</si>
  <si>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</si>
  <si>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</si>
  <si>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</si>
  <si>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</si>
  <si>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</si>
  <si>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</si>
  <si>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</si>
  <si>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</si>
  <si>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</si>
  <si>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</si>
  <si>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</si>
  <si>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</si>
  <si>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</si>
  <si>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</si>
  <si>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</si>
  <si>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</si>
  <si>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</si>
  <si>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</si>
  <si>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</si>
  <si>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</si>
  <si>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</si>
  <si>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</si>
  <si>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</si>
  <si>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</si>
  <si>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</si>
  <si>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</si>
  <si>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</si>
  <si>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</si>
  <si>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</si>
  <si>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</si>
  <si>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</si>
  <si>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</si>
  <si>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</si>
  <si>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</si>
  <si>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</si>
  <si>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</si>
  <si>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</si>
  <si>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</si>
  <si>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</si>
  <si>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</si>
  <si>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</si>
  <si>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</si>
  <si>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</si>
  <si>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</si>
  <si>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</si>
  <si>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</si>
  <si>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</si>
  <si>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</si>
  <si>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</si>
  <si>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</si>
  <si>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</si>
  <si>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</si>
  <si>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</si>
  <si>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</si>
  <si>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</si>
  <si>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</si>
  <si>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</si>
  <si>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</si>
  <si>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</si>
  <si>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</si>
  <si>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</si>
  <si>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</si>
  <si>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</si>
  <si>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</si>
  <si>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</si>
  <si>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</si>
  <si>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</si>
  <si>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</si>
  <si>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</si>
  <si>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</si>
  <si>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</si>
  <si>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</si>
  <si>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</si>
  <si>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</si>
  <si>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</si>
  <si>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</si>
  <si>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</si>
  <si>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</si>
  <si>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</si>
  <si>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</si>
  <si>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</si>
  <si>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</si>
  <si>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</si>
  <si>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</si>
  <si>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</si>
  <si>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</si>
  <si>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</si>
  <si>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</si>
  <si>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</si>
  <si>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</si>
  <si>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</si>
  <si>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</si>
  <si>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</si>
  <si>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</si>
  <si>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</si>
  <si>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</si>
  <si>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</si>
  <si>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</si>
  <si>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</si>
  <si>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</si>
  <si>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</si>
  <si>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</si>
  <si>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</si>
  <si>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</si>
  <si>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</si>
  <si>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</si>
  <si>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</si>
  <si>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</si>
  <si>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</si>
  <si>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</si>
  <si>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</si>
  <si>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</si>
  <si>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</si>
  <si>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</si>
  <si>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</si>
  <si>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</si>
  <si>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</si>
  <si>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</si>
  <si>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</si>
  <si>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</si>
  <si>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</si>
  <si>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</si>
  <si>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</si>
  <si>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</si>
  <si>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</si>
  <si>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</si>
  <si>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</si>
  <si>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</si>
  <si>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</si>
  <si>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</si>
  <si>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</si>
  <si>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</si>
  <si>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</si>
  <si>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</si>
  <si>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</si>
  <si>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</si>
  <si>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</si>
  <si>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</si>
  <si>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</si>
  <si>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</si>
  <si>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</si>
  <si>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</si>
  <si>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</si>
  <si>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</si>
  <si>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</si>
  <si>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</si>
  <si>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</si>
  <si>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</si>
  <si>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</si>
  <si>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</si>
  <si>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</si>
  <si>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</si>
  <si>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</si>
  <si>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</si>
  <si>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</si>
  <si>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</si>
  <si>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</si>
  <si>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</si>
  <si>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</si>
  <si>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</si>
  <si>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</si>
  <si>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</si>
  <si>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</si>
  <si>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</si>
  <si>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</si>
  <si>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</si>
  <si>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</si>
  <si>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</si>
  <si>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</si>
  <si>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</si>
  <si>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</si>
  <si>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</si>
  <si>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</si>
  <si>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</si>
  <si>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</si>
  <si>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</si>
  <si>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</si>
  <si>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</si>
  <si>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</si>
  <si>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</si>
  <si>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</si>
  <si>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</si>
  <si>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</si>
  <si>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</si>
  <si>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</si>
  <si>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</si>
  <si>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</si>
  <si>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</si>
  <si>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</si>
  <si>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</si>
  <si>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</si>
  <si>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</si>
  <si>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</si>
  <si>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</si>
  <si>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</si>
  <si>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</si>
  <si>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</si>
  <si>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</si>
  <si>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</si>
  <si>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</si>
  <si>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</si>
  <si>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</si>
  <si>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</si>
  <si>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</si>
  <si>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</si>
  <si>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</si>
  <si>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</si>
  <si>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</si>
  <si>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</si>
  <si>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</si>
  <si>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</si>
  <si>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</si>
  <si>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</si>
  <si>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</si>
  <si>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</si>
  <si>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</si>
  <si>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</si>
  <si>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</si>
  <si>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</si>
  <si>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</si>
  <si>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</si>
  <si>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</si>
  <si>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</si>
  <si>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</si>
  <si>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</si>
  <si>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</si>
  <si>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</si>
  <si>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</si>
  <si>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</si>
  <si>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</si>
  <si>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</si>
  <si>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</si>
  <si>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</si>
  <si>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</si>
  <si>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</si>
  <si>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</si>
  <si>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</si>
  <si>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</si>
  <si>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</si>
  <si>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</si>
  <si>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</si>
  <si>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</si>
  <si>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</si>
  <si>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</si>
  <si>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</si>
  <si>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</si>
  <si>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</si>
  <si>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</si>
  <si>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</si>
  <si>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</si>
  <si>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</si>
  <si>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</si>
  <si>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</si>
  <si>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</si>
  <si>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</si>
  <si>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</si>
  <si>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</si>
  <si>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</si>
  <si>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</si>
  <si>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</si>
  <si>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</si>
  <si>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</si>
  <si>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</si>
  <si>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</si>
  <si>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</si>
  <si>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</si>
  <si>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</si>
  <si>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</si>
  <si>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</si>
  <si>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</si>
  <si>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</si>
  <si>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</si>
  <si>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</si>
  <si>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</si>
  <si>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</si>
  <si>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</si>
  <si>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</si>
  <si>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</si>
  <si>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</si>
  <si>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</si>
  <si>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</si>
  <si>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</si>
  <si>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</si>
  <si>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</si>
  <si>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</si>
  <si>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</si>
  <si>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</si>
  <si>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</si>
  <si>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</si>
  <si>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</si>
  <si>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</si>
  <si>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</si>
  <si>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</si>
  <si>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</si>
  <si>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</si>
  <si>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</si>
  <si>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</si>
  <si>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</si>
  <si>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</si>
  <si>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</si>
  <si>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</si>
  <si>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</si>
  <si>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</si>
  <si>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</si>
  <si>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</si>
  <si>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</si>
  <si>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</si>
  <si>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</si>
  <si>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</si>
  <si>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</si>
  <si>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</si>
  <si>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</si>
  <si>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</si>
  <si>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</si>
  <si>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</si>
  <si>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</si>
  <si>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</si>
  <si>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</si>
  <si>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</si>
  <si>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</si>
  <si>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</si>
  <si>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</si>
  <si>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</si>
  <si>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</si>
  <si>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</si>
  <si>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</si>
  <si>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</si>
  <si>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</si>
  <si>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</si>
  <si>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</si>
  <si>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</si>
  <si>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</si>
  <si>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</si>
  <si>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</si>
  <si>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</si>
  <si>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</si>
  <si>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</si>
  <si>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</si>
  <si>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</si>
  <si>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</si>
  <si>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</si>
  <si>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</si>
  <si>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</si>
  <si>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</si>
  <si>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</si>
  <si>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</si>
  <si>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</si>
  <si>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</si>
  <si>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</si>
  <si>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</si>
  <si>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</si>
  <si>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</si>
  <si>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</si>
  <si>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</si>
  <si>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</si>
  <si>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</si>
  <si>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</si>
  <si>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</si>
  <si>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</si>
  <si>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</si>
  <si>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</si>
  <si>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</si>
  <si>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</si>
  <si>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</si>
  <si>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</si>
  <si>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</si>
  <si>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</si>
  <si>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</si>
  <si>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</si>
  <si>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</si>
  <si>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</si>
  <si>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</si>
  <si>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</si>
  <si>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</si>
  <si>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</si>
  <si>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</si>
  <si>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</si>
  <si>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</si>
  <si>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</si>
  <si>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</si>
  <si>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</si>
  <si>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</si>
  <si>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</si>
  <si>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</si>
  <si>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</si>
  <si>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</si>
  <si>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</si>
  <si>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</si>
  <si>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</si>
  <si>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</si>
  <si>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</si>
  <si>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</si>
  <si>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</si>
  <si>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</si>
  <si>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</si>
  <si>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</si>
  <si>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</si>
  <si>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</si>
  <si>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</si>
  <si>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</si>
  <si>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</si>
  <si>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</si>
  <si>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</si>
  <si>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</si>
  <si>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</si>
  <si>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</si>
  <si>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</si>
  <si>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</si>
  <si>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</si>
  <si>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</si>
  <si>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</si>
  <si>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</si>
  <si>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</si>
  <si>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</si>
  <si>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</si>
  <si>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</si>
  <si>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</si>
  <si>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</si>
  <si>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</si>
  <si>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</si>
  <si>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</si>
  <si>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</si>
  <si>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</si>
  <si>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</si>
  <si>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</si>
  <si>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</si>
  <si>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</si>
  <si>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</si>
  <si>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</si>
  <si>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</si>
  <si>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</si>
  <si>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</si>
  <si>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</si>
  <si>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</si>
  <si>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</si>
  <si>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</si>
  <si>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</si>
  <si>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</si>
  <si>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</si>
  <si>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</si>
  <si>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</si>
  <si>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</si>
  <si>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</si>
  <si>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</si>
  <si>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</si>
  <si>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</si>
  <si>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</si>
  <si>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</si>
  <si>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</si>
  <si>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</si>
  <si>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</si>
  <si>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</si>
  <si>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</si>
  <si>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</si>
  <si>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</si>
  <si>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</si>
  <si>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</si>
  <si>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</si>
  <si>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</si>
  <si>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</si>
  <si>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</si>
  <si>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</si>
  <si>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</si>
  <si>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</si>
  <si>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</si>
  <si>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</si>
  <si>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</si>
  <si>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</si>
  <si>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</si>
  <si>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</si>
  <si>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</si>
  <si>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</si>
  <si>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</si>
  <si>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</si>
  <si>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</si>
  <si>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</si>
  <si>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</si>
  <si>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</si>
  <si>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</si>
  <si>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</si>
  <si>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</si>
  <si>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</si>
  <si>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</si>
  <si>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</si>
  <si>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</si>
  <si>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</si>
  <si>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</si>
  <si>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</si>
  <si>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</si>
  <si>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</si>
  <si>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</si>
  <si>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</si>
  <si>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</si>
  <si>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</si>
  <si>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</si>
  <si>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</si>
  <si>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</si>
  <si>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</si>
  <si>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</si>
  <si>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</si>
  <si>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</si>
  <si>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</si>
  <si>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</si>
  <si>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</si>
  <si>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</si>
  <si>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</si>
  <si>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</si>
  <si>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</si>
  <si>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</si>
  <si>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</si>
  <si>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</si>
  <si>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</si>
  <si>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</si>
  <si>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</si>
  <si>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</si>
  <si>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</si>
  <si>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</si>
  <si>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</si>
  <si>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</si>
  <si>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</si>
  <si>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</si>
  <si>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</si>
  <si>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</si>
  <si>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</si>
  <si>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</si>
  <si>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</si>
  <si>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</si>
  <si>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</si>
  <si>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</si>
  <si>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</si>
  <si>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</si>
  <si>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</si>
  <si>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</si>
  <si>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</si>
  <si>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</si>
  <si>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</si>
  <si>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</si>
  <si>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</si>
  <si>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</si>
  <si>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</si>
  <si>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</si>
  <si>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</si>
  <si>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</si>
  <si>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</si>
  <si>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</si>
  <si>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</si>
  <si>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</si>
  <si>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</si>
  <si>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</si>
  <si>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</si>
  <si>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</si>
  <si>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</si>
  <si>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</si>
  <si>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</si>
  <si>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</si>
  <si>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</si>
  <si>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</si>
  <si>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</si>
  <si>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</si>
  <si>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</si>
  <si>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</si>
  <si>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</si>
  <si>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</si>
  <si>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</si>
  <si>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</si>
  <si>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</si>
  <si>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</si>
  <si>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</si>
  <si>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</si>
  <si>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</si>
  <si>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</si>
  <si>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</si>
  <si>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</si>
  <si>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</si>
  <si>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</si>
  <si>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</si>
  <si>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</si>
  <si>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</si>
  <si>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</si>
  <si>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</si>
  <si>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</si>
  <si>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</si>
  <si>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</si>
  <si>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</si>
  <si>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</si>
  <si>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</si>
  <si>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</si>
  <si>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</si>
  <si>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</si>
  <si>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</si>
  <si>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</si>
  <si>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</si>
  <si>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</si>
  <si>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</si>
  <si>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</si>
  <si>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</si>
  <si>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</si>
  <si>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</si>
  <si>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</si>
  <si>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</si>
  <si>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</si>
  <si>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</si>
  <si>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</si>
  <si>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</si>
  <si>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</si>
  <si>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</si>
  <si>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</si>
  <si>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</si>
  <si>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</si>
  <si>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</si>
  <si>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</si>
  <si>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</si>
  <si>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</si>
  <si>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</si>
  <si>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</si>
  <si>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</si>
  <si>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</si>
  <si>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</si>
  <si>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</si>
  <si>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</si>
  <si>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</si>
  <si>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</si>
  <si>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</si>
  <si>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</si>
  <si>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</si>
  <si>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</si>
  <si>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</si>
  <si>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</si>
  <si>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</si>
  <si>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</si>
  <si>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</si>
  <si>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</si>
  <si>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</si>
  <si>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</si>
  <si>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</si>
  <si>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</si>
  <si>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</si>
  <si>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</si>
  <si>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</si>
  <si>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</si>
  <si>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</si>
  <si>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</si>
  <si>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</si>
  <si>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</si>
  <si>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</si>
  <si>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</si>
  <si>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</si>
  <si>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</si>
  <si>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</si>
  <si>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</si>
  <si>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</si>
  <si>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</si>
  <si>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</si>
  <si>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</si>
  <si>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</si>
  <si>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</si>
  <si>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</si>
  <si>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</si>
  <si>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</si>
  <si>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</si>
  <si>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</si>
  <si>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</si>
  <si>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</si>
  <si>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</si>
  <si>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</si>
  <si>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</si>
  <si>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</si>
  <si>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</si>
  <si>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</si>
  <si>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</si>
  <si>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</si>
  <si>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</si>
  <si>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</si>
  <si>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</si>
  <si>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</si>
  <si>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</si>
  <si>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</si>
  <si>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</si>
  <si>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</si>
  <si>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</si>
  <si>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</si>
  <si>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</si>
  <si>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</si>
  <si>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</si>
  <si>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</si>
  <si>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</si>
  <si>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</si>
  <si>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</si>
  <si>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</si>
  <si>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</si>
  <si>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</si>
  <si>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</si>
  <si>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</si>
  <si>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</si>
  <si>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</si>
  <si>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</si>
  <si>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</si>
  <si>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</si>
  <si>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</si>
  <si>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</si>
  <si>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</si>
  <si>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</si>
  <si>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</si>
  <si>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</si>
  <si>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</si>
  <si>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</si>
  <si>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</si>
  <si>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</si>
  <si>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</si>
  <si>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</si>
  <si>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</si>
  <si>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</si>
  <si>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</si>
  <si>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</si>
  <si>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</si>
  <si>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</si>
  <si>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</si>
  <si>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</si>
  <si>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</si>
  <si>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</si>
  <si>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</si>
  <si>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</si>
  <si>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</si>
  <si>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</si>
  <si>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</si>
  <si>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</si>
  <si>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</si>
  <si>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</si>
  <si>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</si>
  <si>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</si>
  <si>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</si>
  <si>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</si>
  <si>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</si>
  <si>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</si>
  <si>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</si>
  <si>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</si>
  <si>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</si>
  <si>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</si>
  <si>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</si>
  <si>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</si>
  <si>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</si>
  <si>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</si>
  <si>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</si>
  <si>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</si>
  <si>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</si>
  <si>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</si>
  <si>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</si>
  <si>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</si>
  <si>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</si>
  <si>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 xml:space="preserve">MC1 09h29 / </t>
  </si>
  <si>
    <t>MC1 09h29 /  Sem oportunidade de faixa</t>
  </si>
  <si>
    <t>MC1 08h27 /  Sem oportunidade de faixa</t>
  </si>
  <si>
    <t>TP pronto 12h53 / Aguardando confirmar cauda do R64</t>
  </si>
  <si>
    <t>MC1 07h27/ autorizado entrada na via 11h03 / Em deslocamento para km de trabalho</t>
  </si>
  <si>
    <t>MC1 07h27/ autorizado entrada na via 11h03 / Em intervalo</t>
  </si>
  <si>
    <t>Cancelado / chuva</t>
  </si>
  <si>
    <t>ZPT105</t>
  </si>
  <si>
    <t>ZEV-1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</si>
  <si>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</si>
  <si>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</si>
  <si>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</si>
  <si>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</si>
  <si>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</si>
  <si>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</si>
  <si>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</si>
  <si>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</si>
  <si>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</si>
  <si>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Em intervalo das 12h07 até 13h37</t>
  </si>
  <si>
    <t>Execução de solda - Condicionado a temperatura + Alívio de tensão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</si>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</sst>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T317" activePane="topRight" state="frozen"/>
      <selection pane="topRight" activeCell="X333" sqref="X33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4" t="s">
        <v>950</v>
      </c>
      <c r="C1" s="185"/>
      <c r="D1" s="185"/>
      <c r="E1" s="3"/>
      <c r="F1" s="184" t="s">
        <v>951</v>
      </c>
      <c r="G1" s="185"/>
      <c r="H1" s="186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7"/>
      <c r="AH1" s="5"/>
      <c r="AI1" s="194" t="s">
        <v>952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953</v>
      </c>
      <c r="BI1" s="200"/>
      <c r="BJ1" s="200"/>
      <c r="BK1" s="201"/>
      <c r="BL1" s="5"/>
      <c r="BM1" s="191" t="s">
        <v>954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4" t="s">
        <v>955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958</v>
      </c>
      <c r="AT2" s="195"/>
      <c r="AU2" s="195"/>
      <c r="AV2" s="195"/>
      <c r="AW2" s="195"/>
      <c r="AX2" s="195"/>
      <c r="AY2" s="198"/>
      <c r="AZ2" s="6"/>
      <c r="BA2" s="188" t="s">
        <v>959</v>
      </c>
      <c r="BB2" s="190"/>
      <c r="BC2" s="194" t="s">
        <v>956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8" t="s">
        <v>960</v>
      </c>
      <c r="AJ3" s="190"/>
      <c r="AK3" s="188" t="s">
        <v>961</v>
      </c>
      <c r="AL3" s="189"/>
      <c r="AM3" s="212"/>
      <c r="AN3" s="213"/>
      <c r="AO3" s="189"/>
      <c r="AP3" s="189"/>
      <c r="AQ3" s="190"/>
      <c r="AR3" s="63"/>
      <c r="AS3" s="210" t="s">
        <v>967</v>
      </c>
      <c r="AT3" s="211"/>
      <c r="AU3" s="210" t="s">
        <v>968</v>
      </c>
      <c r="AV3" s="211"/>
      <c r="AW3" s="210" t="s">
        <v>969</v>
      </c>
      <c r="AX3" s="211"/>
      <c r="AY3" s="63" t="s">
        <v>970</v>
      </c>
      <c r="AZ3" s="63"/>
      <c r="BA3" s="208"/>
      <c r="BB3" s="209"/>
      <c r="BC3" s="188" t="s">
        <v>963</v>
      </c>
      <c r="BD3" s="189"/>
      <c r="BE3" s="189"/>
      <c r="BF3" s="190"/>
      <c r="BG3" s="62"/>
      <c r="BH3" s="202"/>
      <c r="BI3" s="203"/>
      <c r="BJ3" s="203"/>
      <c r="BK3" s="204"/>
      <c r="BL3" s="62"/>
      <c r="BM3" s="191" t="s">
        <v>971</v>
      </c>
      <c r="BN3" s="192"/>
      <c r="BO3" s="192"/>
      <c r="BP3" s="193"/>
      <c r="BQ3" s="191" t="s">
        <v>742</v>
      </c>
      <c r="BR3" s="192"/>
      <c r="BS3" s="19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1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1</v>
      </c>
      <c r="BI283" s="17"/>
      <c r="BJ283" s="17" t="s">
        <v>1427</v>
      </c>
      <c r="BK283" s="18" t="s">
        <v>1428</v>
      </c>
      <c r="BL283" s="16"/>
      <c r="BM283" s="130"/>
      <c r="BN283" s="130"/>
      <c r="BO283" s="130"/>
      <c r="BP283" s="18"/>
      <c r="BQ283" s="12" t="str">
        <f t="shared" si="28"/>
        <v>Aderente</v>
      </c>
      <c r="BR283" s="19">
        <f t="shared" si="29"/>
        <v>2.4444444444444446</v>
      </c>
      <c r="BS283" s="19">
        <f t="shared" si="30"/>
        <v>1</v>
      </c>
      <c r="BT283" s="8" t="str">
        <f t="shared" si="31"/>
        <v/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</v>
      </c>
      <c r="AT293" s="108">
        <v>0</v>
      </c>
      <c r="AU293" s="136"/>
      <c r="AV293" s="136"/>
      <c r="AW293" s="14"/>
      <c r="AX293" s="14"/>
      <c r="AY293" s="164">
        <f t="shared" si="26"/>
        <v>0</v>
      </c>
      <c r="AZ293" s="153"/>
      <c r="BA293" s="109">
        <v>0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0</v>
      </c>
      <c r="BI293" s="17"/>
      <c r="BJ293" s="17" t="s">
        <v>1436</v>
      </c>
      <c r="BK293" s="18" t="s">
        <v>1436</v>
      </c>
      <c r="BL293" s="16"/>
      <c r="BM293" s="130" t="s">
        <v>440</v>
      </c>
      <c r="BN293" s="130" t="s">
        <v>469</v>
      </c>
      <c r="BO293" s="130" t="s">
        <v>530</v>
      </c>
      <c r="BP293" s="18" t="s">
        <v>1436</v>
      </c>
      <c r="BQ293" s="12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8" t="str">
        <f t="shared" si="31"/>
        <v>CCOCirculaçãoIntervaloOportunidade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1437</v>
      </c>
      <c r="BK294" s="18" t="s">
        <v>1438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1438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1439</v>
      </c>
      <c r="BK295" s="18" t="s">
        <v>1439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1439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/>
      <c r="AT296" s="108"/>
      <c r="AU296" s="136"/>
      <c r="AV296" s="136"/>
      <c r="AW296" s="14"/>
      <c r="AX296" s="14"/>
      <c r="AY296" s="164">
        <f t="shared" si="26"/>
        <v>0</v>
      </c>
      <c r="AZ296" s="153"/>
      <c r="BA296" s="109"/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/>
      <c r="BI296" s="17"/>
      <c r="BJ296" s="17" t="s">
        <v>1080</v>
      </c>
      <c r="BK296" s="18" t="s">
        <v>1440</v>
      </c>
      <c r="BL296" s="16"/>
      <c r="BM296" s="130"/>
      <c r="BN296" s="130"/>
      <c r="BO296" s="130"/>
      <c r="BP296" s="18"/>
      <c r="BQ296" s="12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8" t="str">
        <f t="shared" si="31"/>
        <v/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/>
      <c r="AT297" s="108"/>
      <c r="AU297" s="136"/>
      <c r="AV297" s="136"/>
      <c r="AW297" s="14"/>
      <c r="AX297" s="14"/>
      <c r="AY297" s="164">
        <f t="shared" si="26"/>
        <v>0</v>
      </c>
      <c r="AZ297" s="153"/>
      <c r="BA297" s="109"/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/>
      <c r="BI297" s="17"/>
      <c r="BJ297" s="17" t="s">
        <v>1080</v>
      </c>
      <c r="BK297" s="18" t="s">
        <v>1440</v>
      </c>
      <c r="BL297" s="16"/>
      <c r="BM297" s="130"/>
      <c r="BN297" s="130"/>
      <c r="BO297" s="130"/>
      <c r="BP297" s="18"/>
      <c r="BQ297" s="12" t="str">
        <f t="shared" si="28"/>
        <v>Produção e Intervalo</v>
      </c>
      <c r="BR297" s="19">
        <f t="shared" si="29"/>
        <v>0</v>
      </c>
      <c r="BS297" s="19">
        <f t="shared" si="30"/>
        <v>0</v>
      </c>
      <c r="BT297" s="8" t="str">
        <f t="shared" si="31"/>
        <v/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1</v>
      </c>
      <c r="BI298" s="17"/>
      <c r="BJ298" s="17" t="s">
        <v>1441</v>
      </c>
      <c r="BK298" s="18" t="s">
        <v>1442</v>
      </c>
      <c r="BL298" s="16"/>
      <c r="BM298" s="130"/>
      <c r="BN298" s="130"/>
      <c r="BO298" s="130"/>
      <c r="BP298" s="18"/>
      <c r="BQ298" s="12" t="str">
        <f t="shared" si="28"/>
        <v>Produção</v>
      </c>
      <c r="BR298" s="19">
        <f t="shared" si="29"/>
        <v>1.0000000000000004</v>
      </c>
      <c r="BS298" s="19">
        <f t="shared" si="30"/>
        <v>0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1443</v>
      </c>
      <c r="BK300" s="18" t="s">
        <v>1443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1443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1443</v>
      </c>
      <c r="BK301" s="18" t="s">
        <v>1443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1443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1444</v>
      </c>
      <c r="I302" s="106" t="s">
        <v>1445</v>
      </c>
      <c r="J302" s="105">
        <v>54</v>
      </c>
      <c r="K302" s="105">
        <v>106</v>
      </c>
      <c r="L302" s="105"/>
      <c r="M302" s="127" t="s">
        <v>1151</v>
      </c>
      <c r="N302" s="127" t="s">
        <v>1152</v>
      </c>
      <c r="O302" s="106">
        <v>0.3125</v>
      </c>
      <c r="P302" s="106">
        <v>4.1666666666666664E-2</v>
      </c>
      <c r="Q302" s="105">
        <v>45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tr">
        <f>BS_CONTROLE[[#This Row],[Local - Partida]]</f>
        <v>ZPT105</v>
      </c>
      <c r="AL302" s="31" t="str">
        <f>BS_CONTROLE[[#This Row],[Local - Encerramento]]</f>
        <v>ZEV-1</v>
      </c>
      <c r="AM302" s="105" t="s">
        <v>1361</v>
      </c>
      <c r="AN302" s="105" t="s">
        <v>335</v>
      </c>
      <c r="AO302" s="105">
        <f>IF(BS_CONTROLE[[#This Row],[SUB]]=0, "-", BS_CONTROLE[[#This Row],[SUB]])</f>
        <v>54</v>
      </c>
      <c r="AP302" s="105">
        <v>124</v>
      </c>
      <c r="AQ302" s="105">
        <v>106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/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2" s="150"/>
      <c r="BG302" s="16"/>
      <c r="BH302" s="17">
        <v>1</v>
      </c>
      <c r="BI302" s="17"/>
      <c r="BJ302" s="17" t="s">
        <v>1446</v>
      </c>
      <c r="BK302" s="18" t="s">
        <v>1447</v>
      </c>
      <c r="BL302" s="16"/>
      <c r="BM302" s="130" t="s">
        <v>440</v>
      </c>
      <c r="BN302" s="130" t="s">
        <v>469</v>
      </c>
      <c r="BO302" s="130" t="s">
        <v>530</v>
      </c>
      <c r="BP302" s="18" t="s">
        <v>1446</v>
      </c>
      <c r="BQ302" s="12" t="str">
        <f t="shared" si="28"/>
        <v>Produção</v>
      </c>
      <c r="BR302" s="19">
        <f t="shared" si="29"/>
        <v>1</v>
      </c>
      <c r="BS302" s="19">
        <f t="shared" si="30"/>
        <v>0</v>
      </c>
      <c r="BT302" s="8" t="str">
        <f t="shared" si="31"/>
        <v>CCOCirculaçãoIntervaloOportunidade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1448</v>
      </c>
      <c r="BK303" s="18"/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8.3333333333333329E-2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/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1</v>
      </c>
      <c r="BI304" s="17"/>
      <c r="BJ304" s="17" t="s">
        <v>1449</v>
      </c>
      <c r="BK304" s="18" t="s">
        <v>1450</v>
      </c>
      <c r="BL304" s="16"/>
      <c r="BM304" s="130"/>
      <c r="BN304" s="130"/>
      <c r="BO304" s="130"/>
      <c r="BP304" s="18"/>
      <c r="BQ304" s="12" t="str">
        <f t="shared" si="28"/>
        <v>Produção e Intervalo</v>
      </c>
      <c r="BR304" s="19">
        <f t="shared" si="29"/>
        <v>0.75</v>
      </c>
      <c r="BS304" s="19">
        <f t="shared" si="30"/>
        <v>0</v>
      </c>
      <c r="BT304" s="8" t="str">
        <f t="shared" si="31"/>
        <v/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1451</v>
      </c>
      <c r="BK305" s="18" t="s">
        <v>1452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1452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1453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1</v>
      </c>
      <c r="BI306" s="17"/>
      <c r="BJ306" s="17" t="s">
        <v>1454</v>
      </c>
      <c r="BK306" s="18" t="s">
        <v>1455</v>
      </c>
      <c r="BL306" s="16"/>
      <c r="BM306" s="130"/>
      <c r="BN306" s="130"/>
      <c r="BO306" s="130"/>
      <c r="BP306" s="18"/>
      <c r="BQ306" s="12" t="str">
        <f t="shared" si="28"/>
        <v>Produção</v>
      </c>
      <c r="BR306" s="19">
        <f t="shared" si="29"/>
        <v>1</v>
      </c>
      <c r="BS306" s="19">
        <f t="shared" si="30"/>
        <v>0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1456</v>
      </c>
      <c r="X308" s="104" t="s">
        <v>421</v>
      </c>
      <c r="Y308" s="129"/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/>
      <c r="AS308" s="108"/>
      <c r="AT308" s="108"/>
      <c r="AU308" s="136"/>
      <c r="AV308" s="136"/>
      <c r="AW308" s="14"/>
      <c r="AX308" s="14"/>
      <c r="AY308" s="164">
        <f t="shared" si="26"/>
        <v>0</v>
      </c>
      <c r="AZ308" s="153"/>
      <c r="BA308" s="109"/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Produção e Intervalo</v>
      </c>
      <c r="BR308" s="19">
        <f t="shared" si="29"/>
        <v>0</v>
      </c>
      <c r="BS308" s="19">
        <f t="shared" si="30"/>
        <v>0</v>
      </c>
      <c r="BT308" s="8" t="str">
        <f t="shared" si="31"/>
        <v/>
      </c>
    </row>
    <row r="309" spans="1:72">
      <c r="A309" s="47" t="str">
        <f t="shared" si="27"/>
        <v>KLECIO (TP-699)</v>
      </c>
      <c r="B309" s="102"/>
      <c r="C309" s="135" t="str">
        <f>IF(BS_CONTROLE[[#This Row],[DATA]]="","",WEEKNUM(BS_CONTROLE[[#This Row],[DATA]]))</f>
        <v/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>
        <f t="shared" si="26"/>
        <v>0</v>
      </c>
      <c r="AZ309" s="153"/>
      <c r="BA309" s="109"/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>W58</v>
      </c>
      <c r="B310" s="102"/>
      <c r="C310" s="135" t="str">
        <f>IF(BS_CONTROLE[[#This Row],[DATA]]="","",WEEKNUM(BS_CONTROLE[[#This Row],[DATA]]))</f>
        <v/>
      </c>
      <c r="D310" s="104" t="s">
        <v>824</v>
      </c>
      <c r="E310" s="159"/>
      <c r="F310" s="126" t="s">
        <v>786</v>
      </c>
      <c r="G310" s="142" t="str">
        <f>IF(D310="","*",VLOOKUP(F310,BS_ATIVIDADE[],3,FALSE))</f>
        <v>OUTROS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Nº DE PEÇAS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RECOLHIMENTO DE DORMENTE</v>
      </c>
      <c r="AJ310" s="9" t="str">
        <f>IF(BS_CONTROLE[[#This Row],[Atividade]]=0, "-", BS_CONTROLE[[#This Row],[Atividade]])</f>
        <v>RECOLHIMENTO DE DORMENTE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Nº DE PEÇAS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/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/>
      <c r="AS311" s="108"/>
      <c r="AT311" s="108"/>
      <c r="AU311" s="136"/>
      <c r="AV311" s="136"/>
      <c r="AW311" s="14"/>
      <c r="AX311" s="14"/>
      <c r="AY311" s="164">
        <f t="shared" si="26"/>
        <v>0</v>
      </c>
      <c r="AZ311" s="153"/>
      <c r="BA311" s="109"/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/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/>
      <c r="AS313" s="108"/>
      <c r="AT313" s="108"/>
      <c r="AU313" s="136"/>
      <c r="AV313" s="136"/>
      <c r="AW313" s="14"/>
      <c r="AX313" s="14"/>
      <c r="AY313" s="164">
        <f t="shared" si="26"/>
        <v>0</v>
      </c>
      <c r="AZ313" s="153"/>
      <c r="BA313" s="109"/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/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/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/>
      <c r="AS314" s="108"/>
      <c r="AT314" s="108"/>
      <c r="AU314" s="136"/>
      <c r="AV314" s="136"/>
      <c r="AW314" s="14"/>
      <c r="AX314" s="14"/>
      <c r="AY314" s="164">
        <f t="shared" si="26"/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/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/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/>
      <c r="AS315" s="108"/>
      <c r="AT315" s="108"/>
      <c r="AU315" s="136"/>
      <c r="AV315" s="136"/>
      <c r="AW315" s="14"/>
      <c r="AX315" s="14"/>
      <c r="AY315" s="164">
        <f t="shared" si="26"/>
        <v>0</v>
      </c>
      <c r="AZ315" s="153"/>
      <c r="BA315" s="109"/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/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/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/>
      <c r="AS316" s="108"/>
      <c r="AT316" s="108"/>
      <c r="AU316" s="136"/>
      <c r="AV316" s="136"/>
      <c r="AW316" s="14"/>
      <c r="AX316" s="14"/>
      <c r="AY316" s="164">
        <f t="shared" si="26"/>
        <v>0</v>
      </c>
      <c r="AZ316" s="153"/>
      <c r="BA316" s="109"/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/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/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/>
      <c r="AS317" s="108"/>
      <c r="AT317" s="108"/>
      <c r="AU317" s="136"/>
      <c r="AV317" s="136"/>
      <c r="AW317" s="14"/>
      <c r="AX317" s="14"/>
      <c r="AY317" s="164">
        <f t="shared" si="26"/>
        <v>0</v>
      </c>
      <c r="AZ317" s="153"/>
      <c r="BA317" s="109"/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/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/>
      <c r="AS319" s="108"/>
      <c r="AT319" s="108"/>
      <c r="AU319" s="136"/>
      <c r="AV319" s="136"/>
      <c r="AW319" s="14"/>
      <c r="AX319" s="14"/>
      <c r="AY319" s="164">
        <f t="shared" si="26"/>
        <v>0</v>
      </c>
      <c r="AZ319" s="153"/>
      <c r="BA319" s="109"/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Produção e Intervalo</v>
      </c>
      <c r="BR319" s="19">
        <f t="shared" si="29"/>
        <v>0</v>
      </c>
      <c r="BS319" s="19">
        <f t="shared" si="30"/>
        <v>0</v>
      </c>
      <c r="BT319" s="8" t="str">
        <f t="shared" si="31"/>
        <v/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/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/>
      <c r="AS320" s="108"/>
      <c r="AT320" s="108"/>
      <c r="AU320" s="136"/>
      <c r="AV320" s="136"/>
      <c r="AW320" s="14"/>
      <c r="AX320" s="14"/>
      <c r="AY320" s="164">
        <f t="shared" si="26"/>
        <v>0</v>
      </c>
      <c r="AZ320" s="153"/>
      <c r="BA320" s="109"/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Produção e Intervalo</v>
      </c>
      <c r="BR320" s="19">
        <f t="shared" si="29"/>
        <v>0</v>
      </c>
      <c r="BS320" s="19">
        <f t="shared" si="30"/>
        <v>0</v>
      </c>
      <c r="BT320" s="8" t="str">
        <f t="shared" si="31"/>
        <v/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/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/>
      <c r="AS321" s="108"/>
      <c r="AT321" s="108"/>
      <c r="AU321" s="136"/>
      <c r="AV321" s="136"/>
      <c r="AW321" s="14"/>
      <c r="AX321" s="14"/>
      <c r="AY321" s="164">
        <f t="shared" si="26"/>
        <v>0</v>
      </c>
      <c r="AZ321" s="153"/>
      <c r="BA321" s="109"/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/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/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/>
      <c r="AS322" s="108"/>
      <c r="AT322" s="108"/>
      <c r="AU322" s="136"/>
      <c r="AV322" s="136"/>
      <c r="AW322" s="14"/>
      <c r="AX322" s="14"/>
      <c r="AY322" s="164">
        <f t="shared" si="26"/>
        <v>0</v>
      </c>
      <c r="AZ322" s="153"/>
      <c r="BA322" s="109"/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Produção e Intervalo</v>
      </c>
      <c r="BR322" s="19">
        <f t="shared" si="29"/>
        <v>0</v>
      </c>
      <c r="BS322" s="19">
        <f t="shared" si="30"/>
        <v>0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/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/>
      <c r="AS324" s="108"/>
      <c r="AT324" s="108"/>
      <c r="AU324" s="136"/>
      <c r="AV324" s="136"/>
      <c r="AW324" s="14"/>
      <c r="AX324" s="14"/>
      <c r="AY324" s="164">
        <f t="shared" si="26"/>
        <v>0</v>
      </c>
      <c r="AZ324" s="153"/>
      <c r="BA324" s="109"/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/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/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/>
      <c r="AS325" s="108"/>
      <c r="AT325" s="108"/>
      <c r="AU325" s="136"/>
      <c r="AV325" s="136"/>
      <c r="AW325" s="14"/>
      <c r="AX325" s="14"/>
      <c r="AY325" s="164">
        <f t="shared" si="26"/>
        <v>0</v>
      </c>
      <c r="AZ325" s="153"/>
      <c r="BA325" s="109"/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/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/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f>BS_CONTROLE[[#This Row],[KM - Inicio]]</f>
        <v>157.30000000000001</v>
      </c>
      <c r="AQ326" s="105">
        <f>BS_CONTROLE[[#This Row],[KM - Inicio]]</f>
        <v>157.30000000000001</v>
      </c>
      <c r="AR326" s="108"/>
      <c r="AS326" s="108"/>
      <c r="AT326" s="108"/>
      <c r="AU326" s="136"/>
      <c r="AV326" s="136"/>
      <c r="AW326" s="14"/>
      <c r="AX326" s="14"/>
      <c r="AY326" s="164">
        <f t="shared" si="26"/>
        <v>0</v>
      </c>
      <c r="AZ326" s="153"/>
      <c r="BA326" s="109"/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Produção e Intervalo</v>
      </c>
      <c r="BR326" s="19">
        <f t="shared" si="29"/>
        <v>0</v>
      </c>
      <c r="BS326" s="19">
        <f t="shared" si="30"/>
        <v>0</v>
      </c>
      <c r="BT326" s="8" t="str">
        <f t="shared" si="31"/>
        <v/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/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ZRB-ZEV</v>
      </c>
      <c r="AN327" s="105">
        <f>IF(BS_CONTROLE[[#This Row],[SB]]=0, "-", BS_CONTROLE[[#This Row],[SB]])</f>
        <v>1571561</v>
      </c>
      <c r="AO327" s="105">
        <f>IF(BS_CONTROLE[[#This Row],[SUB]]=0, "-", BS_CONTROLE[[#This Row],[SUB]])</f>
        <v>48</v>
      </c>
      <c r="AP327" s="105">
        <f>BS_CONTROLE[[#This Row],[KM - Inicio]]</f>
        <v>156.33199999999999</v>
      </c>
      <c r="AQ327" s="105">
        <f>BS_CONTROLE[[#This Row],[KM - Inicio]]</f>
        <v>156.33199999999999</v>
      </c>
      <c r="AR327" s="108"/>
      <c r="AS327" s="108"/>
      <c r="AT327" s="108"/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0</v>
      </c>
      <c r="AZ327" s="153"/>
      <c r="BA327" s="109"/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Produção e Intervalo</v>
      </c>
      <c r="BR327" s="19">
        <f t="shared" si="29"/>
        <v>0</v>
      </c>
      <c r="BS327" s="19">
        <f t="shared" si="30"/>
        <v>0</v>
      </c>
      <c r="BT327" s="8" t="str">
        <f t="shared" si="31"/>
        <v/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/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/>
      <c r="AS328" s="108"/>
      <c r="AT328" s="108"/>
      <c r="AU328" s="136"/>
      <c r="AV328" s="136"/>
      <c r="AW328" s="14"/>
      <c r="AX328" s="14"/>
      <c r="AY328" s="164">
        <f t="shared" si="36"/>
        <v>0</v>
      </c>
      <c r="AZ328" s="153"/>
      <c r="BA328" s="109"/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/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/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tr">
        <f>IF(BS_CONTROLE[[#This Row],[Entre - Estações]]=0, "-", BS_CONTROLE[[#This Row],[Entre - Estações]])</f>
        <v>ZRB-ZEV</v>
      </c>
      <c r="AN329" s="105">
        <f>IF(BS_CONTROLE[[#This Row],[SB]]=0, "-", BS_CONTROLE[[#This Row],[SB]])</f>
        <v>1571561</v>
      </c>
      <c r="AO329" s="105">
        <f>IF(BS_CONTROLE[[#This Row],[SUB]]=0, "-", BS_CONTROLE[[#This Row],[SUB]])</f>
        <v>48</v>
      </c>
      <c r="AP329" s="105">
        <f>BS_CONTROLE[[#This Row],[KM - Inicio]]</f>
        <v>156.93</v>
      </c>
      <c r="AQ329" s="105">
        <f>BS_CONTROLE[[#This Row],[KM - Inicio]]</f>
        <v>156.93</v>
      </c>
      <c r="AR329" s="108"/>
      <c r="AS329" s="108"/>
      <c r="AT329" s="108"/>
      <c r="AU329" s="136"/>
      <c r="AV329" s="136"/>
      <c r="AW329" s="14"/>
      <c r="AX329" s="14"/>
      <c r="AY329" s="164">
        <f t="shared" si="36"/>
        <v>0</v>
      </c>
      <c r="AZ329" s="153"/>
      <c r="BA329" s="109"/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8"/>
        <v>Produção e Intervalo</v>
      </c>
      <c r="BR329" s="19">
        <f t="shared" si="39"/>
        <v>0</v>
      </c>
      <c r="BS329" s="19">
        <f t="shared" si="40"/>
        <v>0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</v>
      </c>
      <c r="B331" s="102"/>
      <c r="C331" s="135" t="str">
        <f>IF(BS_CONTROLE[[#This Row],[DATA]]="","",WEEKNUM(BS_CONTROLE[[#This Row],[DATA]]))</f>
        <v/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/>
      <c r="AS331" s="108"/>
      <c r="AT331" s="108"/>
      <c r="AU331" s="136"/>
      <c r="AV331" s="136"/>
      <c r="AW331" s="14"/>
      <c r="AX331" s="14"/>
      <c r="AY331" s="164">
        <f t="shared" si="36"/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8"/>
        <v>Aderente</v>
      </c>
      <c r="BR331" s="19" t="str">
        <f t="shared" si="39"/>
        <v>*</v>
      </c>
      <c r="BS331" s="19" t="str">
        <f t="shared" si="40"/>
        <v>*</v>
      </c>
      <c r="BT331" s="8" t="str">
        <f t="shared" si="41"/>
        <v/>
      </c>
    </row>
    <row r="332" spans="1:72">
      <c r="A332" s="47" t="str">
        <f t="shared" si="37"/>
        <v>W61</v>
      </c>
      <c r="B332" s="102"/>
      <c r="C332" s="135" t="str">
        <f>IF(BS_CONTROLE[[#This Row],[DATA]]="","",WEEKNUM(BS_CONTROLE[[#This Row],[DATA]]))</f>
        <v/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1392</v>
      </c>
      <c r="X332" s="104" t="s">
        <v>416</v>
      </c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MODERNIZAÇÃO - PEDRA - DESCARGA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/>
      <c r="AS332" s="108"/>
      <c r="AT332" s="108"/>
      <c r="AU332" s="136"/>
      <c r="AV332" s="136"/>
      <c r="AW332" s="14"/>
      <c r="AX332" s="14"/>
      <c r="AY332" s="164">
        <f t="shared" si="36"/>
        <v>0</v>
      </c>
      <c r="AZ332" s="153"/>
      <c r="BA332" s="109"/>
      <c r="BB332" s="10" t="str">
        <f>IFERROR(_xlfn.XLOOKUP(AI332, BS_ATIVIDADE[ATIVIDADE],BS_ATIVIDADE[UNIDADE] ), "*")</f>
        <v>VAGÕES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8"/>
        <v>Aderente</v>
      </c>
      <c r="BR332" s="19" t="str">
        <f t="shared" si="39"/>
        <v>*</v>
      </c>
      <c r="BS332" s="19" t="str">
        <f t="shared" si="40"/>
        <v>*</v>
      </c>
      <c r="BT332" s="8" t="str">
        <f t="shared" si="41"/>
        <v/>
      </c>
    </row>
    <row r="333" spans="1:72">
      <c r="A333" s="47" t="str">
        <f t="shared" si="37"/>
        <v>V85</v>
      </c>
      <c r="B333" s="102"/>
      <c r="C333" s="135" t="str">
        <f>IF(BS_CONTROLE[[#This Row],[DATA]]="","",WEEKNUM(BS_CONTROLE[[#This Row],[DATA]]))</f>
        <v/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0.3125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1050</v>
      </c>
      <c r="X333" s="104" t="s">
        <v>416</v>
      </c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/>
      <c r="AS333" s="108"/>
      <c r="AT333" s="108"/>
      <c r="AU333" s="136"/>
      <c r="AV333" s="136"/>
      <c r="AW333" s="14"/>
      <c r="AX333" s="14"/>
      <c r="AY333" s="164">
        <f t="shared" si="36"/>
        <v>0</v>
      </c>
      <c r="AZ333" s="153"/>
      <c r="BA333" s="109"/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8"/>
        <v>Aderente</v>
      </c>
      <c r="BR333" s="19" t="str">
        <f t="shared" si="39"/>
        <v>*</v>
      </c>
      <c r="BS333" s="19" t="str">
        <f t="shared" si="40"/>
        <v>*</v>
      </c>
      <c r="BT333" s="8" t="str">
        <f t="shared" si="41"/>
        <v/>
      </c>
    </row>
    <row r="334" spans="1:72">
      <c r="A334" s="47" t="str">
        <f t="shared" si="37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6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8"/>
        <v>Aderente</v>
      </c>
      <c r="BR334" s="19" t="str">
        <f t="shared" si="39"/>
        <v>*</v>
      </c>
      <c r="BS334" s="19" t="str">
        <f t="shared" si="40"/>
        <v>*</v>
      </c>
      <c r="BT334" s="8" t="str">
        <f t="shared" si="41"/>
        <v/>
      </c>
    </row>
    <row r="335" spans="1:72">
      <c r="A335" s="47" t="str">
        <f t="shared" si="37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6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8"/>
        <v>Aderente</v>
      </c>
      <c r="BR335" s="19" t="str">
        <f t="shared" si="39"/>
        <v>*</v>
      </c>
      <c r="BS335" s="19" t="str">
        <f t="shared" si="40"/>
        <v>*</v>
      </c>
      <c r="BT335" s="8" t="str">
        <f t="shared" si="41"/>
        <v/>
      </c>
    </row>
    <row r="336" spans="1:72">
      <c r="A336" s="47" t="str">
        <f t="shared" si="37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6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8"/>
        <v>Aderente</v>
      </c>
      <c r="BR336" s="19" t="str">
        <f t="shared" si="39"/>
        <v>*</v>
      </c>
      <c r="BS336" s="19" t="str">
        <f t="shared" si="40"/>
        <v>*</v>
      </c>
      <c r="BT336" s="8" t="str">
        <f t="shared" si="41"/>
        <v/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6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8"/>
        <v>Aderente</v>
      </c>
      <c r="BR338" s="19" t="str">
        <f t="shared" si="39"/>
        <v>*</v>
      </c>
      <c r="BS338" s="19" t="str">
        <f t="shared" si="40"/>
        <v>*</v>
      </c>
      <c r="BT338" s="8" t="str">
        <f t="shared" si="41"/>
        <v/>
      </c>
    </row>
    <row r="339" spans="1:72">
      <c r="A339" s="47" t="str">
        <f t="shared" si="37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6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8"/>
        <v>Aderente</v>
      </c>
      <c r="BR339" s="19" t="str">
        <f t="shared" si="39"/>
        <v>*</v>
      </c>
      <c r="BS339" s="19" t="str">
        <f t="shared" si="40"/>
        <v>*</v>
      </c>
      <c r="BT339" s="8" t="str">
        <f t="shared" si="41"/>
        <v/>
      </c>
    </row>
    <row r="340" spans="1:72">
      <c r="A340" s="47" t="str">
        <f t="shared" si="37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6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8"/>
        <v>Aderente</v>
      </c>
      <c r="BR340" s="19" t="str">
        <f t="shared" si="39"/>
        <v>*</v>
      </c>
      <c r="BS340" s="19" t="str">
        <f t="shared" si="40"/>
        <v>*</v>
      </c>
      <c r="BT340" s="8" t="str">
        <f t="shared" si="41"/>
        <v/>
      </c>
    </row>
    <row r="341" spans="1:72">
      <c r="A341" s="47" t="str">
        <f t="shared" si="37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6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8"/>
        <v>Aderente</v>
      </c>
      <c r="BR341" s="19" t="str">
        <f t="shared" si="39"/>
        <v>*</v>
      </c>
      <c r="BS341" s="19" t="str">
        <f t="shared" si="40"/>
        <v>*</v>
      </c>
      <c r="BT341" s="8" t="str">
        <f t="shared" si="41"/>
        <v/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6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8"/>
        <v>Aderente</v>
      </c>
      <c r="BR343" s="19" t="str">
        <f t="shared" si="39"/>
        <v>*</v>
      </c>
      <c r="BS343" s="19" t="str">
        <f t="shared" si="40"/>
        <v>*</v>
      </c>
      <c r="BT343" s="8" t="str">
        <f t="shared" si="41"/>
        <v/>
      </c>
    </row>
    <row r="344" spans="1:72">
      <c r="A344" s="47" t="str">
        <f t="shared" si="37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6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8"/>
        <v>Aderente</v>
      </c>
      <c r="BR344" s="19" t="str">
        <f t="shared" si="39"/>
        <v>*</v>
      </c>
      <c r="BS344" s="19" t="str">
        <f t="shared" si="40"/>
        <v>*</v>
      </c>
      <c r="BT344" s="8" t="str">
        <f t="shared" si="41"/>
        <v/>
      </c>
    </row>
    <row r="345" spans="1:72">
      <c r="A345" s="47" t="str">
        <f t="shared" si="37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6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8"/>
        <v>Aderente</v>
      </c>
      <c r="BR345" s="19" t="str">
        <f t="shared" si="39"/>
        <v>*</v>
      </c>
      <c r="BS345" s="19" t="str">
        <f t="shared" si="40"/>
        <v>*</v>
      </c>
      <c r="BT345" s="8" t="str">
        <f t="shared" si="41"/>
        <v/>
      </c>
    </row>
    <row r="346" spans="1:72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1457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1458</v>
      </c>
      <c r="C4" s="160" t="s">
        <v>1459</v>
      </c>
      <c r="D4" s="160" t="s">
        <v>1460</v>
      </c>
      <c r="E4" s="160" t="s">
        <v>1461</v>
      </c>
      <c r="F4" s="160" t="s">
        <v>4</v>
      </c>
      <c r="G4" s="160" t="s">
        <v>1462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1463</v>
      </c>
      <c r="C6" s="161">
        <v>407867</v>
      </c>
      <c r="D6" s="161" t="s">
        <v>1464</v>
      </c>
      <c r="E6" s="161" t="s">
        <v>824</v>
      </c>
      <c r="F6" s="161" t="s">
        <v>1465</v>
      </c>
      <c r="G6" s="162"/>
    </row>
    <row r="7" spans="2:7">
      <c r="B7" s="182" t="s">
        <v>1466</v>
      </c>
      <c r="C7" s="182">
        <v>293644</v>
      </c>
      <c r="D7" s="182" t="s">
        <v>1467</v>
      </c>
      <c r="E7" s="182" t="s">
        <v>824</v>
      </c>
      <c r="F7" s="182" t="s">
        <v>1465</v>
      </c>
      <c r="G7" s="183" t="s">
        <v>1468</v>
      </c>
    </row>
    <row r="8" spans="2:7">
      <c r="B8" s="161" t="s">
        <v>1469</v>
      </c>
      <c r="C8" s="161">
        <v>256790</v>
      </c>
      <c r="D8" s="161" t="s">
        <v>1470</v>
      </c>
      <c r="E8" s="161" t="s">
        <v>825</v>
      </c>
      <c r="F8" s="161" t="s">
        <v>1471</v>
      </c>
      <c r="G8" s="162">
        <v>46357</v>
      </c>
    </row>
    <row r="9" spans="2:7" ht="29.25">
      <c r="B9" s="161" t="s">
        <v>1472</v>
      </c>
      <c r="C9" s="161"/>
      <c r="D9" s="161"/>
      <c r="E9" s="161" t="s">
        <v>825</v>
      </c>
      <c r="F9" s="161" t="s">
        <v>1471</v>
      </c>
      <c r="G9" s="162" t="s">
        <v>1473</v>
      </c>
    </row>
    <row r="10" spans="2:7">
      <c r="B10" s="161" t="s">
        <v>1474</v>
      </c>
      <c r="C10" s="161">
        <v>265193</v>
      </c>
      <c r="D10" s="161" t="s">
        <v>1475</v>
      </c>
      <c r="E10" s="161" t="s">
        <v>826</v>
      </c>
      <c r="F10" s="161" t="s">
        <v>54</v>
      </c>
      <c r="G10" s="161" t="s">
        <v>1476</v>
      </c>
    </row>
    <row r="11" spans="2:7">
      <c r="B11" s="161" t="s">
        <v>1477</v>
      </c>
      <c r="C11" s="161">
        <v>293716</v>
      </c>
      <c r="D11" s="161" t="s">
        <v>1478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1479</v>
      </c>
      <c r="C12" s="161">
        <v>257258</v>
      </c>
      <c r="D12" s="161" t="s">
        <v>1480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1481</v>
      </c>
      <c r="C13" s="161">
        <v>371147</v>
      </c>
      <c r="D13" s="161" t="s">
        <v>1482</v>
      </c>
      <c r="E13" s="161" t="s">
        <v>827</v>
      </c>
      <c r="F13" s="161" t="s">
        <v>71</v>
      </c>
      <c r="G13" s="161" t="s">
        <v>1476</v>
      </c>
    </row>
    <row r="14" spans="2:7">
      <c r="B14" s="161" t="s">
        <v>1483</v>
      </c>
      <c r="C14" s="161">
        <v>259230</v>
      </c>
      <c r="D14" s="161" t="s">
        <v>1484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1485</v>
      </c>
      <c r="C15" s="161">
        <v>370705</v>
      </c>
      <c r="D15" s="161"/>
      <c r="E15" s="161" t="s">
        <v>827</v>
      </c>
      <c r="F15" s="161" t="s">
        <v>71</v>
      </c>
      <c r="G15" s="161" t="s">
        <v>1476</v>
      </c>
    </row>
    <row r="16" spans="2:7" ht="29.25">
      <c r="B16" s="161" t="s">
        <v>1486</v>
      </c>
      <c r="C16" s="161">
        <v>258542</v>
      </c>
      <c r="D16" s="161" t="s">
        <v>1487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1488</v>
      </c>
      <c r="C17" s="161">
        <v>257050</v>
      </c>
      <c r="D17" s="161" t="s">
        <v>1489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1490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1491</v>
      </c>
      <c r="D4" s="163" t="s">
        <v>1492</v>
      </c>
      <c r="E4" s="163" t="s">
        <v>1493</v>
      </c>
      <c r="F4" s="160" t="s">
        <v>1494</v>
      </c>
      <c r="G4" s="163" t="s">
        <v>1495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1496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1497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1496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1496</v>
      </c>
      <c r="G9" s="167"/>
    </row>
    <row r="10" spans="2:7" ht="19.5" customHeight="1">
      <c r="B10" s="167" t="s">
        <v>1498</v>
      </c>
      <c r="C10" s="167">
        <v>9038</v>
      </c>
      <c r="D10" s="168">
        <v>46063</v>
      </c>
      <c r="E10" s="167">
        <v>11450</v>
      </c>
      <c r="F10" s="169" t="s">
        <v>1499</v>
      </c>
      <c r="G10" s="167"/>
    </row>
    <row r="11" spans="2:7" ht="19.5" customHeight="1">
      <c r="B11" s="167" t="s">
        <v>744</v>
      </c>
      <c r="C11" s="167" t="s">
        <v>1500</v>
      </c>
      <c r="D11" s="168">
        <v>46056</v>
      </c>
      <c r="E11" s="167">
        <v>9100</v>
      </c>
      <c r="F11" s="169" t="s">
        <v>1501</v>
      </c>
      <c r="G11" s="167" t="s">
        <v>1502</v>
      </c>
    </row>
    <row r="12" spans="2:7" ht="19.5" customHeight="1">
      <c r="B12" s="167" t="s">
        <v>744</v>
      </c>
      <c r="C12" s="167" t="s">
        <v>1503</v>
      </c>
      <c r="D12" s="168">
        <v>46058</v>
      </c>
      <c r="E12" s="167">
        <v>12000</v>
      </c>
      <c r="F12" s="169" t="s">
        <v>1496</v>
      </c>
      <c r="G12" s="167"/>
    </row>
    <row r="13" spans="2:7" ht="19.5" customHeight="1">
      <c r="B13" s="167" t="s">
        <v>744</v>
      </c>
      <c r="C13" s="167" t="s">
        <v>1504</v>
      </c>
      <c r="D13" s="168">
        <v>46058</v>
      </c>
      <c r="E13" s="167">
        <v>12000</v>
      </c>
      <c r="F13" s="169" t="s">
        <v>1496</v>
      </c>
      <c r="G13" s="167"/>
    </row>
    <row r="14" spans="2:7" ht="19.5" customHeight="1">
      <c r="B14" s="167" t="s">
        <v>744</v>
      </c>
      <c r="C14" s="167" t="s">
        <v>1505</v>
      </c>
      <c r="D14" s="168">
        <v>46058</v>
      </c>
      <c r="E14" s="167">
        <v>13800</v>
      </c>
      <c r="F14" s="169" t="s">
        <v>1496</v>
      </c>
      <c r="G14" s="167" t="s">
        <v>1506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1507</v>
      </c>
      <c r="D5" s="218"/>
      <c r="E5" s="218"/>
      <c r="F5" s="218"/>
      <c r="G5" s="218"/>
      <c r="H5" s="218"/>
      <c r="I5" s="218"/>
      <c r="J5" s="219"/>
      <c r="K5" s="220" t="s">
        <v>1508</v>
      </c>
      <c r="L5" s="221"/>
      <c r="M5" s="221"/>
      <c r="N5" s="221"/>
      <c r="O5" s="222" t="s">
        <v>1509</v>
      </c>
      <c r="P5" s="223"/>
    </row>
    <row r="6" spans="1:16" s="74" customFormat="1" ht="15" customHeight="1">
      <c r="A6" s="66" t="s">
        <v>1510</v>
      </c>
      <c r="B6" s="75" t="s">
        <v>1511</v>
      </c>
      <c r="C6" s="76" t="s">
        <v>992</v>
      </c>
      <c r="D6" s="77" t="s">
        <v>993</v>
      </c>
      <c r="E6" s="76" t="s">
        <v>1512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1513</v>
      </c>
      <c r="M6" s="80" t="s">
        <v>611</v>
      </c>
      <c r="N6" s="81" t="s">
        <v>987</v>
      </c>
      <c r="O6" s="158" t="s">
        <v>1030</v>
      </c>
      <c r="P6" s="133" t="s">
        <v>1514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1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0</v>
      </c>
      <c r="P293" s="147" t="str">
        <f>IF($A$2=1,IF(SP_SUL!BJ293="","*",SP_SUL!BJ293),IF(SP_SUL!BK293="","*",SP_SUL!BK293))</f>
        <v>TP pronto 11h00 / Sem oportunidade de faixa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 t="str">
        <f>IF(SP_SUL!BH296="","*",SP_SUL!BH296)</f>
        <v>*</v>
      </c>
      <c r="P296" s="147" t="str">
        <f>IF($A$2=1,IF(SP_SUL!BJ296="","*",SP_SUL!BJ296),IF(SP_SUL!BK296="","*",SP_SUL!BK296))</f>
        <v>TP pronto 12h53 / Aguardando confirmar cauda do R64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 t="str">
        <f>IF(SP_SUL!BH297="","*",SP_SUL!BH297)</f>
        <v>*</v>
      </c>
      <c r="P297" s="147" t="str">
        <f>IF($A$2=1,IF(SP_SUL!BJ297="","*",SP_SUL!BJ297),IF(SP_SUL!BK297="","*",SP_SUL!BK297))</f>
        <v>TP pronto 12h53 / Aguardando confirmar cauda do R64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1</v>
      </c>
      <c r="P298" s="147" t="str">
        <f>IF($A$2=1,IF(SP_SUL!BJ298="","*",SP_SUL!BJ298),IF(SP_SUL!BK298="","*",SP_SUL!BK298))</f>
        <v>MC1 07h27/ autorizado entrada na via 11h03 / Em intervalo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ZEV-ZPT</v>
      </c>
      <c r="E302" s="83" t="str">
        <f>IF(SP_SUL!D302="","*",SP_SUL!D302)</f>
        <v>A84</v>
      </c>
      <c r="F302" s="83" t="str">
        <f>IF(SP_SUL!H302="","*",SP_SUL!H302)</f>
        <v>ZPT105</v>
      </c>
      <c r="G302" s="83" t="str">
        <f>IF(SP_SUL!M302="","*",SP_SUL!M302)</f>
        <v>ZPT-ZEV</v>
      </c>
      <c r="H302" s="116">
        <f>IF(SP_SUL!K302="","*",SP_SUL!K302)</f>
        <v>106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ZPT105</v>
      </c>
      <c r="L302" s="83" t="str">
        <f>IF(SP_SUL!AM302="","*",SP_SUL!AM302)</f>
        <v>ZPG</v>
      </c>
      <c r="M302" s="83">
        <f>IF(SP_SUL!AP302="","*",SP_SUL!AP302)</f>
        <v>124</v>
      </c>
      <c r="N302" s="83" t="str">
        <f>IF(SP_SUL!AM302="","*",SP_SUL!AM302)</f>
        <v>ZPG</v>
      </c>
      <c r="O302" s="110">
        <f>IF(SP_SUL!BH302="","*",SP_SUL!BH302)</f>
        <v>1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8.3333333333333329E-2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1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1</v>
      </c>
      <c r="P306" s="147" t="str">
        <f>IF($A$2=1,IF(SP_SUL!BJ306="","*",SP_SUL!BJ306),IF(SP_SUL!BK306="","*",SP_SUL!BK306))</f>
        <v>Alterado programação para km108+800 via 2 / TP pronto 09h32 /  Em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KLECIO (TP-699)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W58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157.30000000000001</v>
      </c>
      <c r="N326" s="83" t="str">
        <f>IF(SP_SUL!AM326="","*",SP_SUL!AM326)</f>
        <v>ZRB-ZEV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ZRB-ZEV</v>
      </c>
      <c r="M327" s="83">
        <f>IF(SP_SUL!AP327="","*",SP_SUL!AP327)</f>
        <v>156.33199999999999</v>
      </c>
      <c r="N327" s="83" t="str">
        <f>IF(SP_SUL!AM327="","*",SP_SUL!AM327)</f>
        <v>ZRB-ZEV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ZRB-ZEV</v>
      </c>
      <c r="M329" s="83">
        <f>IF(SP_SUL!AP329="","*",SP_SUL!AP329)</f>
        <v>156.93</v>
      </c>
      <c r="N329" s="83" t="str">
        <f>IF(SP_SUL!AM329="","*",SP_SUL!AM329)</f>
        <v>ZRB-ZEV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0.3125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H293" sqref="H29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1515</v>
      </c>
      <c r="V1" s="229"/>
      <c r="W1" s="229"/>
    </row>
    <row r="2" spans="1:23" ht="15" customHeight="1">
      <c r="A2" s="87" t="s">
        <v>1516</v>
      </c>
      <c r="B2" s="87" t="s">
        <v>1511</v>
      </c>
      <c r="C2" s="87" t="s">
        <v>411</v>
      </c>
      <c r="D2" s="88" t="s">
        <v>992</v>
      </c>
      <c r="E2" s="88" t="s">
        <v>4</v>
      </c>
      <c r="F2" s="88" t="s">
        <v>1510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1517</v>
      </c>
      <c r="T2" s="91" t="s">
        <v>995</v>
      </c>
      <c r="U2" s="138">
        <f ca="1">TODAY()-1</f>
        <v>46064</v>
      </c>
      <c r="V2" s="138">
        <f ca="1">U2-1</f>
        <v>46063</v>
      </c>
      <c r="W2" s="138">
        <f ca="1">V2-1</f>
        <v>46062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300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810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600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600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300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810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22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300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810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104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200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22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300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810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600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104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200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22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300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810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600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104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200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580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810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0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104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200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580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104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200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580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22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300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810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0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600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>
        <f ca="1">_xlfn.XLOOKUP(G209&amp;$V$2,BS_CONTROLE[CHAVE],BS_CONTROLE[Quantidade_11],"-")</f>
        <v>45</v>
      </c>
      <c r="W209" s="137">
        <f ca="1">_xlfn.XLOOKUP(G209&amp;$W$2,BS_CONTROLE[CHAVE],BS_CONTROLE[Quantidade_11],"-")</f>
        <v>84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1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0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104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200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580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22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300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0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312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810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600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>
        <f ca="1">_xlfn.XLOOKUP(G236&amp;$V$2,BS_CONTROLE[CHAVE],BS_CONTROLE[Quantidade_11],"-")</f>
        <v>45</v>
      </c>
      <c r="W236" s="137">
        <f ca="1">_xlfn.XLOOKUP(G236&amp;$W$2,BS_CONTROLE[CHAVE],BS_CONTROLE[Quantidade_11],"-")</f>
        <v>84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>
        <f ca="1">_xlfn.XLOOKUP(G240&amp;$V$2,BS_CONTROLE[CHAVE],BS_CONTROLE[Quantidade_11],"-")</f>
        <v>0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1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104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200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580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22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300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312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810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600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>
        <f ca="1">_xlfn.XLOOKUP(G274&amp;$U$2,BS_CONTROLE[CHAVE],BS_CONTROLE[Quantidade_11],"-")</f>
        <v>1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0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>
        <f ca="1">_xlfn.XLOOKUP(G275&amp;$V$2,BS_CONTROLE[CHAVE],BS_CONTROLE[Quantidade_11],"-")</f>
        <v>45</v>
      </c>
      <c r="W275" s="137">
        <f ca="1">_xlfn.XLOOKUP(G275&amp;$W$2,BS_CONTROLE[CHAVE],BS_CONTROLE[Quantidade_11],"-")</f>
        <v>84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104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200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0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580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22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300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0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810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600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ZEV-ZPT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ZPT105</v>
      </c>
      <c r="J299" s="145" t="str">
        <f>IF(SP_SUL!I302="","*",SP_SUL!I302)</f>
        <v>ZEV-1</v>
      </c>
      <c r="K299" s="139" t="str">
        <f>IF(SP_SUL!M302="","*",SP_SUL!M302)</f>
        <v>ZPT-ZEV</v>
      </c>
      <c r="L299" s="139" t="str">
        <f>IF(SP_SUL!N302="","*",SP_SUL!N302)</f>
        <v>ZPTZEV</v>
      </c>
      <c r="M299" s="140">
        <f>IF(SP_SUL!J302="","*",SP_SUL!J302)</f>
        <v>54</v>
      </c>
      <c r="N299" s="144">
        <f>IF(SP_SUL!K302="","*",SP_SUL!K302)</f>
        <v>106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45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>
        <f ca="1">_xlfn.XLOOKUP(G299&amp;$V$2,BS_CONTROLE[CHAVE],BS_CONTROLE[Quantidade_11],"-")</f>
        <v>45</v>
      </c>
      <c r="W299" s="137">
        <f ca="1">_xlfn.XLOOKUP(G299&amp;$W$2,BS_CONTROLE[CHAVE],BS_CONTROLE[Quantidade_11],"-")</f>
        <v>84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>
        <f ca="1">_xlfn.XLOOKUP(G300&amp;$V$2,BS_CONTROLE[CHAVE],BS_CONTROLE[Quantidade_11],"-")</f>
        <v>1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8.3333333333333329E-2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104</v>
      </c>
      <c r="V301" s="137">
        <f ca="1">_xlfn.XLOOKUP(G301&amp;$V$2,BS_CONTROLE[CHAVE],BS_CONTROLE[Quantidade_11],"-")</f>
        <v>0</v>
      </c>
      <c r="W301" s="137">
        <f ca="1">_xlfn.XLOOKUP(G301&amp;$W$2,BS_CONTROLE[CHAVE],BS_CONTROLE[Quantidade_11],"-")</f>
        <v>200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W58</v>
      </c>
      <c r="H307" s="145" t="str">
        <f>IF(SP_SUL!F310="","*",SP_SUL!F310)</f>
        <v>RECOLHIMENTO DE DORMENTE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22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*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580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*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300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*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0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*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810</v>
      </c>
      <c r="V318" s="137">
        <f ca="1">_xlfn.XLOOKUP(G318&amp;$V$2,BS_CONTROLE[CHAVE],BS_CONTROLE[Quantidade_11],"-")</f>
        <v>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*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*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0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0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0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 t="str">
        <f>IF(SP_SUL!B331="","*",SP_SUL!B331)</f>
        <v>*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0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 t="str">
        <f>IF(SP_SUL!B332="","*",SP_SUL!B332)</f>
        <v>*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1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*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 t="str">
        <f>IF(SP_SUL!B333="","*",SP_SUL!B333)</f>
        <v>*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0.3125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 xml:space="preserve">Socaria mecanizada </v>
      </c>
      <c r="U330" s="137" t="str">
        <f ca="1">_xlfn.XLOOKUP(G330&amp;$U$2,BS_CONTROLE[CHAVE],BS_CONTROLE[Quantidade_11],"-")</f>
        <v>-</v>
      </c>
      <c r="V330" s="137">
        <f ca="1">_xlfn.XLOOKUP(G330&amp;$V$2,BS_CONTROLE[CHAVE],BS_CONTROLE[Quantidade_11],"-")</f>
        <v>0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2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82" sqref="B282:K28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1518</v>
      </c>
      <c r="C2" s="121" t="s">
        <v>977</v>
      </c>
      <c r="D2" s="76" t="s">
        <v>979</v>
      </c>
      <c r="E2" s="76" t="s">
        <v>1519</v>
      </c>
      <c r="F2" s="99" t="s">
        <v>1520</v>
      </c>
      <c r="G2" s="76" t="s">
        <v>1521</v>
      </c>
      <c r="H2" s="76" t="s">
        <v>1522</v>
      </c>
      <c r="I2" s="76" t="s">
        <v>1523</v>
      </c>
      <c r="J2" s="76" t="s">
        <v>1524</v>
      </c>
      <c r="K2" s="78" t="s">
        <v>1525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ZPT105</v>
      </c>
      <c r="F298" s="100" t="str">
        <f>IF(SP_SUL!M302="","*",SP_SUL!M302)</f>
        <v>ZPT-ZEV</v>
      </c>
      <c r="G298" s="95" t="str">
        <f>IF(SP_SUL!I302="","*",SP_SUL!I302)</f>
        <v>ZEV-1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KLECIO (TP-699)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W58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*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*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*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*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*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*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2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2026-02-12T16:57:11Z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