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325" documentId="8_{B6337239-1A00-434D-AAD0-422EA1FEB5AE}" xr6:coauthVersionLast="47" xr6:coauthVersionMax="47" xr10:uidLastSave="{06A98D0E-AA34-4D3F-90D0-2F5ED5D47A5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R128" i="16" s="1"/>
  <c r="S131" i="1" a="1"/>
  <c r="S131" i="1" s="1"/>
  <c r="D128" i="16" s="1"/>
  <c r="T131" i="1" a="1"/>
  <c r="T131" i="1" s="1"/>
  <c r="E128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0" i="1" l="1"/>
  <c r="AJ131" i="1"/>
  <c r="K62" i="16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<sst xmlns="http://schemas.openxmlformats.org/spreadsheetml/2006/main" count="5807" uniqueCount="1600">
  <si>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</si>
  <si>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</si>
  <si>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</si>
  <si>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</si>
  <si>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</si>
  <si>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</si>
  <si>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</si>
  <si>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</si>
  <si>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</si>
  <si>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</si>
  <si>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</si>
  <si>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</si>
  <si>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</si>
  <si>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</si>
  <si>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</si>
  <si>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</si>
  <si>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</si>
  <si>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</si>
  <si>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</si>
  <si>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</si>
  <si>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</si>
  <si>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</si>
  <si>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</si>
  <si>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</si>
  <si>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</si>
  <si>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</si>
  <si>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</si>
  <si>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</si>
  <si>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</si>
  <si>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</si>
  <si>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</si>
  <si>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</si>
  <si>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</si>
  <si>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</si>
  <si>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</si>
  <si>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</si>
  <si>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</si>
  <si>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</si>
  <si>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</si>
  <si>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</si>
  <si>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</si>
  <si>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</si>
  <si>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</si>
  <si>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</si>
  <si>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</si>
  <si>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</si>
  <si>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</si>
  <si>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</si>
  <si>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</si>
  <si>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</si>
  <si>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</si>
  <si>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</si>
  <si>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</si>
  <si>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</si>
  <si>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</si>
  <si>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</si>
  <si>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</si>
  <si>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</si>
  <si>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</si>
  <si>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</si>
  <si>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</si>
  <si>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</si>
  <si>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</si>
  <si>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</si>
  <si>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</si>
  <si>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</si>
  <si>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</si>
  <si>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</si>
  <si>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</si>
  <si>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</si>
  <si>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</si>
  <si>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</si>
  <si>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</si>
  <si>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</si>
  <si>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</si>
  <si>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</si>
  <si>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</si>
  <si>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</si>
  <si>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</si>
  <si>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</si>
  <si>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</si>
  <si>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</si>
  <si>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</si>
  <si>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</si>
  <si>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</si>
  <si>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</si>
  <si>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</si>
  <si>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</si>
  <si>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</si>
  <si>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</si>
  <si>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</si>
  <si>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</si>
  <si>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</si>
  <si>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</si>
  <si>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</si>
  <si>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</si>
  <si>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</si>
  <si>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</si>
  <si>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</si>
  <si>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</si>
  <si>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</si>
  <si>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</si>
  <si>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</si>
  <si>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</si>
  <si>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</si>
  <si>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</si>
  <si>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</si>
  <si>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</si>
  <si>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</si>
  <si>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</si>
  <si>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</si>
  <si>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</si>
  <si>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</si>
  <si>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</si>
  <si>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</si>
  <si>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</si>
  <si>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</si>
  <si>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</si>
  <si>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</si>
  <si>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</si>
  <si>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</si>
  <si>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</si>
  <si>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</si>
  <si>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</si>
  <si>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</si>
  <si>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</si>
  <si>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</si>
  <si>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</si>
  <si>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</si>
  <si>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</si>
  <si>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</si>
  <si>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</si>
  <si>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</si>
  <si>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</si>
  <si>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</si>
  <si>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</si>
  <si>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</si>
  <si>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</si>
  <si>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</si>
  <si>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</si>
  <si>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</si>
  <si>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</si>
  <si>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</si>
  <si>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</si>
  <si>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</si>
  <si>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</si>
  <si>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</si>
  <si>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</si>
  <si>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</si>
  <si>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</si>
  <si>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</si>
  <si>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</si>
  <si>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</si>
  <si>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</si>
  <si>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</si>
  <si>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</si>
  <si>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</si>
  <si>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</si>
  <si>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</si>
  <si>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</si>
  <si>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</si>
  <si>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</si>
  <si>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</si>
  <si>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</si>
  <si>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</si>
  <si>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</si>
  <si>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</si>
  <si>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</si>
  <si>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</si>
  <si>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</si>
  <si>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</si>
  <si>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</si>
  <si>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</si>
  <si>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</si>
  <si>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</si>
  <si>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</si>
  <si>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</si>
  <si>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</si>
  <si>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</si>
  <si>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</si>
  <si>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</si>
  <si>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</si>
  <si>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</si>
  <si>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</si>
  <si>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</si>
  <si>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</si>
  <si>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</si>
  <si>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</si>
  <si>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</si>
  <si>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</si>
  <si>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</si>
  <si>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</si>
  <si>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</si>
  <si>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</si>
  <si>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</si>
  <si>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</si>
  <si>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</si>
  <si>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</si>
  <si>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</si>
  <si>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</si>
  <si>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</si>
  <si>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</si>
  <si>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</si>
  <si>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</si>
  <si>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</si>
  <si>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</si>
  <si>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</si>
  <si>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</si>
  <si>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</si>
  <si>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</si>
  <si>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</si>
  <si>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</si>
  <si>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</si>
  <si>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</si>
  <si>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</si>
  <si>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</si>
  <si>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</si>
  <si>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</si>
  <si>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</si>
  <si>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</si>
  <si>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</si>
  <si>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</si>
  <si>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</si>
  <si>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</si>
  <si>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</si>
  <si>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</si>
  <si>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</si>
  <si>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</si>
  <si>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</si>
  <si>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</si>
  <si>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</si>
  <si>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</si>
  <si>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</si>
  <si>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</si>
  <si>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</si>
  <si>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</si>
  <si>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</si>
  <si>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</si>
  <si>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</si>
  <si>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</si>
  <si>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</si>
  <si>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</si>
  <si>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</si>
  <si>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</si>
  <si>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</si>
  <si>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</si>
  <si>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</si>
  <si>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</si>
  <si>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</si>
  <si>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</si>
  <si>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</si>
  <si>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</si>
  <si>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</si>
  <si>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</si>
  <si>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</si>
  <si>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</si>
  <si>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</si>
  <si>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</si>
  <si>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</si>
  <si>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</si>
  <si>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</si>
  <si>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</si>
  <si>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</si>
  <si>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</si>
  <si>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</si>
  <si>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</si>
  <si>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</si>
  <si>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</si>
  <si>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</si>
  <si>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</si>
  <si>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</si>
  <si>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</si>
  <si>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</si>
  <si>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</si>
  <si>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</si>
  <si>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</si>
  <si>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</si>
  <si>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</si>
  <si>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</si>
  <si>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</si>
  <si>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</si>
  <si>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</si>
  <si>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</si>
  <si>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</si>
  <si>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</si>
  <si>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</si>
  <si>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</si>
  <si>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</si>
  <si>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</si>
  <si>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</si>
  <si>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</si>
  <si>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</si>
  <si>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</si>
  <si>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</si>
  <si>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</si>
  <si>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</si>
  <si>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</si>
  <si>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</si>
  <si>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</si>
  <si>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</si>
  <si>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</si>
  <si>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</si>
  <si>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</si>
  <si>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</si>
  <si>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</si>
  <si>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</si>
  <si>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</si>
  <si>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</si>
  <si>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</si>
  <si>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</si>
  <si>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</si>
  <si>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</si>
  <si>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</si>
  <si>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</si>
  <si>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</si>
  <si>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</si>
  <si>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</si>
  <si>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</si>
  <si>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</si>
  <si>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</si>
  <si>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</si>
  <si>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</si>
  <si>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</si>
  <si>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</si>
  <si>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</si>
  <si>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</si>
  <si>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</si>
  <si>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</si>
  <si>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</si>
  <si>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</si>
  <si>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</si>
  <si>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</si>
  <si>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</si>
  <si>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</si>
  <si>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</si>
  <si>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</si>
  <si>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</si>
  <si>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</si>
  <si>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</si>
  <si>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</si>
  <si>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</si>
  <si>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</si>
  <si>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</si>
  <si>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</si>
  <si>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</si>
  <si>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</si>
  <si>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</si>
  <si>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</si>
  <si>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</si>
  <si>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</si>
  <si>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</si>
  <si>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</si>
  <si>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</si>
  <si>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</si>
  <si>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</si>
  <si>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</si>
  <si>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</si>
  <si>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</si>
  <si>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</si>
  <si>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</si>
  <si>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</si>
  <si>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</si>
  <si>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</si>
  <si>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</si>
  <si>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</si>
  <si>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</si>
  <si>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</si>
  <si>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</si>
  <si>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</si>
  <si>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</si>
  <si>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</si>
  <si>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</si>
  <si>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</si>
  <si>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</si>
  <si>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</si>
  <si>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</si>
  <si>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</si>
  <si>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</si>
  <si>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</si>
  <si>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</si>
  <si>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</si>
  <si>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</si>
  <si>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</si>
  <si>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</si>
  <si>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</si>
  <si>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</si>
  <si>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</si>
  <si>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</si>
  <si>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</si>
  <si>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</si>
  <si>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</si>
  <si>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</si>
  <si>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</si>
  <si>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</si>
  <si>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</si>
  <si>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</si>
  <si>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</si>
  <si>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</si>
  <si>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</si>
  <si>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</si>
  <si>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</si>
  <si>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</si>
  <si>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</si>
  <si>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</si>
  <si>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</si>
  <si>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</si>
  <si>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</si>
  <si>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</si>
  <si>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</si>
  <si>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</si>
  <si>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</si>
  <si>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</si>
  <si>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</si>
  <si>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</si>
  <si>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</si>
  <si>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</si>
  <si>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</si>
  <si>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</si>
  <si>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</si>
  <si>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</si>
  <si>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</si>
  <si>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</si>
  <si>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</si>
  <si>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</si>
  <si>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</si>
  <si>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</si>
  <si>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</si>
  <si>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</si>
  <si>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</si>
  <si>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</si>
  <si>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</si>
  <si>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</si>
  <si>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</si>
  <si>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</si>
  <si>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</si>
  <si>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</si>
  <si>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</si>
  <si>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</si>
  <si>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</si>
  <si>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</si>
  <si>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</si>
  <si>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</si>
  <si>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</si>
  <si>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</si>
  <si>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</si>
  <si>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</si>
  <si>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</si>
  <si>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</si>
  <si>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</si>
  <si>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</si>
  <si>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</si>
  <si>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</si>
  <si>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</si>
  <si>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</si>
  <si>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</si>
  <si>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</si>
  <si>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</si>
  <si>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</si>
  <si>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</si>
  <si>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</si>
  <si>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</si>
  <si>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</si>
  <si>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</si>
  <si>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</si>
  <si>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</si>
  <si>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</si>
  <si>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</si>
  <si>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</si>
  <si>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</si>
  <si>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</si>
  <si>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</si>
  <si>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</si>
  <si>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</si>
  <si>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</si>
  <si>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</si>
  <si>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</si>
  <si>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</si>
  <si>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</si>
  <si>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</si>
  <si>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</si>
  <si>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</si>
  <si>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</si>
  <si>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</si>
  <si>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</si>
  <si>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</si>
  <si>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</si>
  <si>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</si>
  <si>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</si>
  <si>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</si>
  <si>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</si>
  <si>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</si>
  <si>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</si>
  <si>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</si>
  <si>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</si>
  <si>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</si>
  <si>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</si>
  <si>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</si>
  <si>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</si>
  <si>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</si>
  <si>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</si>
  <si>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</si>
  <si>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</si>
  <si>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</si>
  <si>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</si>
  <si>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</si>
  <si>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</si>
  <si>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</si>
  <si>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</si>
  <si>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</si>
  <si>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</si>
  <si>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</si>
  <si>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</si>
  <si>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</si>
  <si>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</si>
  <si>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</si>
  <si>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</si>
  <si>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</si>
  <si>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</si>
  <si>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</si>
  <si>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</si>
  <si>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</si>
  <si>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</si>
  <si>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</si>
  <si>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</si>
  <si>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</si>
  <si>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</si>
  <si>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</si>
  <si>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</si>
  <si>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</si>
  <si>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</si>
  <si>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</si>
  <si>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</si>
  <si>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</si>
  <si>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</si>
  <si>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</si>
  <si>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</si>
  <si>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</si>
  <si>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</si>
  <si>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</si>
  <si>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</si>
  <si>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</si>
  <si>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</si>
  <si>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</si>
  <si>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</si>
  <si>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</si>
  <si>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</si>
  <si>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</si>
  <si>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</si>
  <si>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</si>
  <si>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</si>
  <si>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</si>
  <si>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</si>
  <si>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</si>
  <si>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</si>
  <si>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</si>
  <si>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</si>
  <si>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</si>
  <si>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</si>
  <si>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</si>
  <si>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</si>
  <si>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</si>
  <si>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</si>
  <si>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</si>
  <si>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</si>
  <si>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</si>
  <si>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</si>
  <si>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</si>
  <si>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</si>
  <si>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</si>
  <si>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</si>
  <si>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</si>
  <si>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</si>
  <si>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</si>
  <si>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</si>
  <si>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</si>
  <si>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</si>
  <si>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</si>
  <si>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</si>
  <si>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</si>
  <si>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</si>
  <si>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</si>
  <si>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</si>
  <si>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</si>
  <si>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</si>
  <si>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</si>
  <si>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</si>
  <si>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</si>
  <si>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</si>
  <si>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</si>
  <si>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</si>
  <si>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</si>
  <si>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</si>
  <si>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</si>
  <si>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</si>
  <si>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</si>
  <si>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</si>
  <si>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</si>
  <si>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</si>
  <si>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</si>
  <si>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</si>
  <si>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</si>
  <si>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</si>
  <si>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</si>
  <si>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</si>
  <si>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</si>
  <si>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</si>
  <si>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</si>
  <si>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</si>
  <si>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</si>
  <si>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</si>
  <si>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</si>
  <si>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</si>
  <si>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</si>
  <si>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</si>
  <si>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</si>
  <si>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</si>
  <si>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</si>
  <si>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</si>
  <si>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</si>
  <si>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</si>
  <si>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</si>
  <si>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</si>
  <si>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</si>
  <si>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</si>
  <si>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</si>
  <si>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</si>
  <si>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</si>
  <si>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</si>
  <si>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</si>
  <si>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</si>
  <si>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</si>
  <si>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</si>
  <si>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</si>
  <si>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</si>
  <si>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</si>
  <si>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</si>
  <si>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</si>
  <si>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</si>
  <si>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</si>
  <si>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</si>
  <si>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</si>
  <si>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</si>
  <si>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</si>
  <si>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</si>
  <si>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</si>
  <si>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</si>
  <si>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</si>
  <si>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</si>
  <si>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</si>
  <si>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</si>
  <si>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</si>
  <si>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</si>
  <si>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</si>
  <si>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</si>
  <si>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</si>
  <si>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</si>
  <si>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</si>
  <si>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</si>
  <si>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</si>
  <si>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</si>
  <si>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</si>
  <si>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</si>
  <si>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</si>
  <si>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</si>
  <si>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</si>
  <si>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</si>
  <si>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</si>
  <si>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</si>
  <si>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</si>
  <si>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</si>
  <si>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</si>
  <si>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</si>
  <si>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</si>
  <si>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</si>
  <si>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</si>
  <si>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</si>
  <si>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</si>
  <si>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</si>
  <si>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</si>
  <si>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</si>
  <si>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</si>
  <si>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</si>
  <si>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</si>
  <si>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</si>
  <si>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</si>
  <si>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</si>
  <si>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</si>
  <si>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</si>
  <si>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</si>
  <si>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</si>
  <si>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</si>
  <si>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</si>
  <si>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</si>
  <si>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</si>
  <si>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</si>
  <si>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</si>
  <si>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</si>
  <si>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</si>
  <si>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</si>
  <si>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</si>
  <si>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</si>
  <si>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</si>
  <si>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</si>
  <si>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</si>
  <si>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</si>
  <si>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</si>
  <si>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</si>
  <si>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</si>
  <si>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</si>
  <si>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</si>
  <si>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</si>
  <si>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</si>
  <si>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</si>
  <si>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</si>
  <si>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</si>
  <si>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</si>
  <si>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</si>
  <si>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</si>
  <si>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</si>
  <si>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</si>
  <si>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</si>
  <si>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</si>
  <si>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</si>
  <si>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</si>
  <si>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</si>
  <si>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</si>
  <si>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</si>
  <si>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</si>
  <si>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</si>
  <si>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</si>
  <si>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</si>
  <si>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</si>
  <si>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</si>
  <si>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</si>
  <si>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</si>
  <si>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</si>
  <si>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</si>
  <si>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</si>
  <si>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</si>
  <si>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</si>
  <si>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</si>
  <si>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</si>
  <si>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</si>
  <si>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</si>
  <si>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</si>
  <si>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</si>
  <si>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</si>
  <si>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</si>
  <si>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</si>
  <si>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</si>
  <si>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</si>
  <si>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</si>
  <si>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</si>
  <si>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</si>
  <si>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</si>
  <si>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</si>
  <si>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</si>
  <si>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</si>
  <si>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</si>
  <si>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</si>
  <si>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</si>
  <si>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</si>
  <si>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</si>
  <si>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</si>
  <si>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</si>
  <si>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</si>
  <si>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</si>
  <si>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</si>
  <si>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</si>
  <si>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</si>
  <si>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</si>
  <si>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</si>
  <si>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</si>
  <si>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</si>
  <si>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</si>
  <si>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</si>
  <si>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</si>
  <si>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</si>
  <si>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</si>
  <si>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</si>
  <si>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</si>
  <si>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</si>
  <si>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</si>
  <si>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</si>
  <si>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</si>
  <si>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</si>
  <si>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</si>
  <si>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</si>
  <si>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</si>
  <si>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</si>
  <si>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</si>
  <si>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</si>
  <si>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</si>
  <si>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</si>
  <si>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</si>
  <si>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</si>
  <si>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</si>
  <si>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</si>
  <si>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</si>
  <si>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</si>
  <si>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</si>
  <si>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</si>
  <si>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</si>
  <si>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</si>
  <si>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</si>
  <si>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</si>
  <si>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</si>
  <si>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</si>
  <si>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</si>
  <si>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</si>
  <si>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</si>
  <si>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</si>
  <si>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</si>
  <si>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</si>
  <si>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</si>
  <si>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</si>
  <si>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</si>
  <si>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</si>
  <si>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</si>
  <si>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</si>
  <si>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</si>
  <si>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</si>
  <si>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</si>
  <si>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</si>
  <si>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</si>
  <si>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</si>
  <si>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</si>
  <si>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</si>
  <si>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</si>
  <si>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</si>
  <si>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</si>
  <si>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</si>
  <si>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</si>
  <si>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</si>
  <si>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</si>
  <si>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</si>
  <si>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</si>
  <si>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</si>
  <si>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</si>
  <si>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</si>
  <si>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</si>
  <si>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</si>
  <si>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</si>
  <si>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</si>
  <si>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</si>
  <si>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</si>
  <si>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</si>
  <si>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</si>
  <si>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</si>
  <si>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</si>
  <si>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</si>
  <si>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</si>
  <si>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</si>
  <si>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</si>
  <si>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</si>
  <si>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</si>
  <si>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</si>
  <si>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</si>
  <si>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</si>
  <si>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</si>
  <si>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</si>
  <si>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</si>
  <si>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</si>
  <si>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</si>
  <si>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</si>
  <si>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</si>
  <si>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</si>
  <si>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</si>
  <si>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</si>
  <si>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</si>
  <si>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</si>
  <si>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</si>
  <si>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</si>
  <si>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</si>
  <si>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</si>
  <si>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</si>
  <si>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</si>
  <si>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</si>
  <si>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</si>
  <si>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</si>
  <si>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</si>
  <si>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</si>
  <si>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</si>
  <si>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</si>
  <si>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</si>
  <si>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</si>
  <si>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</si>
  <si>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</si>
  <si>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</si>
  <si>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</si>
  <si>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</si>
  <si>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</si>
  <si>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</si>
  <si>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</si>
  <si>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</si>
  <si>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</si>
  <si>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</si>
  <si>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</si>
  <si>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</si>
  <si>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</si>
  <si>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</si>
  <si>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</si>
  <si>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</si>
  <si>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</si>
  <si>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</si>
  <si>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</si>
  <si>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</si>
  <si>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</si>
  <si>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</si>
  <si>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</si>
  <si>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</si>
  <si>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</si>
  <si>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</si>
  <si>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</si>
  <si>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</si>
  <si>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</si>
  <si>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</si>
  <si>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</si>
  <si>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</si>
  <si>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</si>
  <si>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</si>
  <si>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</si>
  <si>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</si>
  <si>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</si>
  <si>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</si>
  <si>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</si>
  <si>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</si>
  <si>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</si>
  <si>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</si>
  <si>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</si>
  <si>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</si>
  <si>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</si>
  <si>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</si>
  <si>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</si>
  <si>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</si>
  <si>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</si>
  <si>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</si>
  <si>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</si>
  <si>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</si>
  <si>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</si>
  <si>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</si>
  <si>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</si>
  <si>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</si>
  <si>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</si>
  <si>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</si>
  <si>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</si>
  <si>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</si>
  <si>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</si>
  <si>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</si>
  <si>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</si>
  <si>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</si>
  <si>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</si>
  <si>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</si>
  <si>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</si>
  <si>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</si>
  <si>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</si>
  <si>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</si>
  <si>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</si>
  <si>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</si>
  <si>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</si>
  <si>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</si>
  <si>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</si>
  <si>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</si>
  <si>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</si>
  <si>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</si>
  <si>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</si>
  <si>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</si>
  <si>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</si>
  <si>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</si>
  <si>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</si>
  <si>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</si>
  <si>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</si>
  <si>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</si>
  <si>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</si>
  <si>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</si>
  <si>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</si>
  <si>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</si>
  <si>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</si>
  <si>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</si>
  <si>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</si>
  <si>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</si>
  <si>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</si>
  <si>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</si>
  <si>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</si>
  <si>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</si>
  <si>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</si>
  <si>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</si>
  <si>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</si>
  <si>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</si>
  <si>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</si>
  <si>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</si>
  <si>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</si>
  <si>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</si>
  <si>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</si>
  <si>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</si>
  <si>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</si>
  <si>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</si>
  <si>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</si>
  <si>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</si>
  <si>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</si>
  <si>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</si>
  <si>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</si>
  <si>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</si>
  <si>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</si>
  <si>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</si>
  <si>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</si>
  <si>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</si>
  <si>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</si>
  <si>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</si>
  <si>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</si>
  <si>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</si>
  <si>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</si>
  <si>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</si>
  <si>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</si>
  <si>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</si>
  <si>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</si>
  <si>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</si>
  <si>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</si>
  <si>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</si>
  <si>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</si>
  <si>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</si>
  <si>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</si>
  <si>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</si>
  <si>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</si>
  <si>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</si>
  <si>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</si>
  <si>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</si>
  <si>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</si>
  <si>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</si>
  <si>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</si>
  <si>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</si>
  <si>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</si>
  <si>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</si>
  <si>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</si>
  <si>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</si>
  <si>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</si>
  <si>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</si>
  <si>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</si>
  <si>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</si>
  <si>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</si>
  <si>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</si>
  <si>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</si>
  <si>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</si>
  <si>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</si>
  <si>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</si>
  <si>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</si>
  <si>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</si>
  <si>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</si>
  <si>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</si>
  <si>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</si>
  <si>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</si>
  <si>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</si>
  <si>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</si>
  <si>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</si>
  <si>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</si>
  <si>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</si>
  <si>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</si>
  <si>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</si>
  <si>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</si>
  <si>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</si>
  <si>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</si>
  <si>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</si>
  <si>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</si>
  <si>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</si>
  <si>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</si>
  <si>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</si>
  <si>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</si>
  <si>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</si>
  <si>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</si>
  <si>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</si>
  <si>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</si>
  <si>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</si>
  <si>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</si>
  <si>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</si>
  <si>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</si>
  <si>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</si>
  <si>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</si>
  <si>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</si>
  <si>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</si>
  <si>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</si>
  <si>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</si>
  <si>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</si>
  <si>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</si>
  <si>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</si>
  <si>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</si>
  <si>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</si>
  <si>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</si>
  <si>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</si>
  <si>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</si>
  <si>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</si>
  <si>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</si>
  <si>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</si>
  <si>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</si>
  <si>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</si>
  <si>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</si>
  <si>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</si>
  <si>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</si>
  <si>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</si>
  <si>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</si>
  <si>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</si>
  <si>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</si>
  <si>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</si>
  <si>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</si>
  <si>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</si>
  <si>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</si>
  <si>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</si>
  <si>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</si>
  <si>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</si>
  <si>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</si>
  <si>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</si>
  <si>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</si>
  <si>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</si>
  <si>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</si>
  <si>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</si>
  <si>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</si>
  <si>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</si>
  <si>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</si>
  <si>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</si>
  <si>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</si>
  <si>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</si>
  <si>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</si>
  <si>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</si>
  <si>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</si>
  <si>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</si>
  <si>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</si>
  <si>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</si>
  <si>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</si>
  <si>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</si>
  <si>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</si>
  <si>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</si>
  <si>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</si>
  <si>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</si>
  <si>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</si>
  <si>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</si>
  <si>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</si>
  <si>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</si>
  <si>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</si>
  <si>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</si>
  <si>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</si>
  <si>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</si>
  <si>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</si>
  <si>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</si>
  <si>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</si>
  <si>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</si>
  <si>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</si>
  <si>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</si>
  <si>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</si>
  <si>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</si>
  <si>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</si>
  <si>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</si>
  <si>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</si>
  <si>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</si>
  <si>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</si>
  <si>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</si>
  <si>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</si>
  <si>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</si>
  <si>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</si>
  <si>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</si>
  <si>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</si>
  <si>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</si>
  <si>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</si>
  <si>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</si>
  <si>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</si>
  <si>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</si>
  <si>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</si>
  <si>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</si>
  <si>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</si>
  <si>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</si>
  <si>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</si>
  <si>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</si>
  <si>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</si>
  <si>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</si>
  <si>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</si>
  <si>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</si>
  <si>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</si>
  <si>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</si>
  <si>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</si>
  <si>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</si>
  <si>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</si>
  <si>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</si>
  <si>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</si>
  <si>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</si>
  <si>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</si>
  <si>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</si>
  <si>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</si>
  <si>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</si>
  <si>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</si>
  <si>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</si>
  <si>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</si>
  <si>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</si>
  <si>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</si>
  <si>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</si>
  <si>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</si>
  <si>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</si>
  <si>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</si>
  <si>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</si>
  <si>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</si>
  <si>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</si>
  <si>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</si>
  <si>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</si>
  <si>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</si>
  <si>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</si>
  <si>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</si>
  <si>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</si>
  <si>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</si>
  <si>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</si>
  <si>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</si>
  <si>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</si>
  <si>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</si>
  <si>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</si>
  <si>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</si>
  <si>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</si>
  <si>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</si>
  <si>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</si>
  <si>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</si>
  <si>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</si>
  <si>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</si>
  <si>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</si>
  <si>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</si>
  <si>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</si>
  <si>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</si>
  <si>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</si>
  <si>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</si>
  <si>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</si>
  <si>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</si>
  <si>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</si>
  <si>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</si>
  <si>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</si>
  <si>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</si>
  <si>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</si>
  <si>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</si>
  <si>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</si>
  <si>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</si>
  <si>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</si>
  <si>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</si>
  <si>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</si>
  <si>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</si>
  <si>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</si>
  <si>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</si>
  <si>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</si>
  <si>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</si>
  <si>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</si>
  <si>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</si>
  <si>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</si>
  <si>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</si>
  <si>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</si>
  <si>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</si>
  <si>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</si>
  <si>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</si>
  <si>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</si>
  <si>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</si>
  <si>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</si>
  <si>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</si>
  <si>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</si>
  <si>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</si>
  <si>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</si>
  <si>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</si>
  <si>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</si>
  <si>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</si>
  <si>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</si>
  <si>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</si>
  <si>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</si>
  <si>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</si>
  <si>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</si>
  <si>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</si>
  <si>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</si>
  <si>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</si>
  <si>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</si>
  <si>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</si>
  <si>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</si>
  <si>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</si>
  <si>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</si>
  <si>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</si>
  <si>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</si>
  <si>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</si>
  <si>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</si>
  <si>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</si>
  <si>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</si>
  <si>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</si>
  <si>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</si>
  <si>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</si>
  <si>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</si>
  <si>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</si>
  <si>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</si>
  <si>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</si>
  <si>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</si>
  <si>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</si>
  <si>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</si>
  <si>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</si>
  <si>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</si>
  <si>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</si>
  <si>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</si>
  <si>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</si>
  <si>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</si>
  <si>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</si>
  <si>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</si>
  <si>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</si>
  <si>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</si>
  <si>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</si>
  <si>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</si>
  <si>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</si>
  <si>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</si>
  <si>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</si>
  <si>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</si>
  <si>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</si>
  <si>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</si>
  <si>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</si>
  <si>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</si>
  <si>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</si>
  <si>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</si>
  <si>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</si>
  <si>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</si>
  <si>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</si>
  <si>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</si>
  <si>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</si>
  <si>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</si>
  <si>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</si>
  <si>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</si>
  <si>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</si>
  <si>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</si>
  <si>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</si>
  <si>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</si>
  <si>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</si>
  <si>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</si>
  <si>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</si>
  <si>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</si>
  <si>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</si>
  <si>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</si>
  <si>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</si>
  <si>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</si>
  <si>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</si>
  <si>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</si>
  <si>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</si>
  <si>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</si>
  <si>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</si>
  <si>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</si>
  <si>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</si>
  <si>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</si>
  <si>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</si>
  <si>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</si>
  <si>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</si>
  <si>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</si>
  <si>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</si>
  <si>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</si>
  <si>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</si>
  <si>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</si>
  <si>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</si>
  <si>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</si>
  <si>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</si>
  <si>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</si>
  <si>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</si>
  <si>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</si>
  <si>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</si>
  <si>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</si>
  <si>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</si>
  <si>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</si>
  <si>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</si>
  <si>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</si>
  <si>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</si>
  <si>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</si>
  <si>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</si>
  <si>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</si>
  <si>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</si>
  <si>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</si>
  <si>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</si>
  <si>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</si>
  <si>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</si>
  <si>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</si>
  <si>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</si>
  <si>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</si>
  <si>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</si>
  <si>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</si>
  <si>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</si>
  <si>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</si>
  <si>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</si>
  <si>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</si>
  <si>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</si>
  <si>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</si>
  <si>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</si>
  <si>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</si>
  <si>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</si>
  <si>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</si>
  <si>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</si>
  <si>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</si>
  <si>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</si>
  <si>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</si>
  <si>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</si>
  <si>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</si>
  <si>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</si>
  <si>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</si>
  <si>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</si>
  <si>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</si>
  <si>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</si>
  <si>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</si>
  <si>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</si>
  <si>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</si>
  <si>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</si>
  <si>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</si>
  <si>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</si>
  <si>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</si>
  <si>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</si>
  <si>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</si>
  <si>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</si>
  <si>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</si>
  <si>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</si>
  <si>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</si>
  <si>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</si>
  <si>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</si>
  <si>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</si>
  <si>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</si>
  <si>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</si>
  <si>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</si>
  <si>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</si>
  <si>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</si>
  <si>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</si>
  <si>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</si>
  <si>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</si>
  <si>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</si>
  <si>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</si>
  <si>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</si>
  <si>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</si>
  <si>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</si>
  <si>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</si>
  <si>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</si>
  <si>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</si>
  <si>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</si>
  <si>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</si>
  <si>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</si>
  <si>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</si>
  <si>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</si>
  <si>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</si>
  <si>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</si>
  <si>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</si>
  <si>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</si>
  <si>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</si>
  <si>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</si>
  <si>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</si>
  <si>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</si>
  <si>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</si>
  <si>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</si>
  <si>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</si>
  <si>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</si>
  <si>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</si>
  <si>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</si>
  <si>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</si>
  <si>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</si>
  <si>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</si>
  <si>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</si>
  <si>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</si>
  <si>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</si>
  <si>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</si>
  <si>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</si>
  <si>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</si>
  <si>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</si>
  <si>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</si>
  <si>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</si>
  <si>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</si>
  <si>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</si>
  <si>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</si>
  <si>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</si>
  <si>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</si>
  <si>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</si>
  <si>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</si>
  <si>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</si>
  <si>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</si>
  <si>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</si>
  <si>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</si>
  <si>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</si>
  <si>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</si>
  <si>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</si>
  <si>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</si>
  <si>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</si>
  <si>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</si>
  <si>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</si>
  <si>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</si>
  <si>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</si>
  <si>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</si>
  <si>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</si>
  <si>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</si>
  <si>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</si>
  <si>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</si>
  <si>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</si>
  <si>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</si>
  <si>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</si>
  <si>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</si>
  <si>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</si>
  <si>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</si>
  <si>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</si>
  <si>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</si>
  <si>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</si>
  <si>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</si>
  <si>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</si>
  <si>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</si>
  <si>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</si>
  <si>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</si>
  <si>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</si>
  <si>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</si>
  <si>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</si>
  <si>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</si>
  <si>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</si>
  <si>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</si>
  <si>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</si>
  <si>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</si>
  <si>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</si>
  <si>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</si>
  <si>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</si>
  <si>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</si>
  <si>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</si>
  <si>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</si>
  <si>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</si>
  <si>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</si>
  <si>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</si>
  <si>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</si>
  <si>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</si>
  <si>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</si>
  <si>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</si>
  <si>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</si>
  <si>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</si>
  <si>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</si>
  <si>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</si>
  <si>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</si>
  <si>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</si>
  <si>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Previsão de MC1 as 10:30h</t>
  </si>
  <si>
    <t>MC1 09:33, faixa após W70 as  12:30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</si>
  <si>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</si>
  <si>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</si>
  <si>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</si>
  <si>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</si>
  <si>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</si>
  <si>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</si>
  <si>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</si>
  <si>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</si>
  <si>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</si>
  <si>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</si>
  <si>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</si>
  <si>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</si>
  <si>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</si>
  <si>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</si>
  <si>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</si>
  <si>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</si>
  <si>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</si>
  <si>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</si>
  <si>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</si>
  <si>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</t>
  </si>
  <si>
    <t>Pronto as 07:51h - Intervalo das 10:28h as 12:28h</t>
  </si>
  <si>
    <t xml:space="preserve"> Intervalo das 10:28h as 12:28h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</si>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</sst>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tabSelected="1" zoomScaleNormal="100" workbookViewId="0">
      <pane xSplit="6" topLeftCell="AR1" activePane="topRight" state="frozen"/>
      <selection pane="topRight" activeCell="BA782" sqref="BA78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IF(D131="","*",IFERROR(IF(ISODD(COUNT(AS131:AX133)),"ERRO",SUM((AT131-AS131),(AV131-AU131),(AX131-AW131))),"ERRO"))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>
        <v>0.39791666666666664</v>
      </c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 t="s">
        <v>1522</v>
      </c>
      <c r="BK133" s="14" t="s">
        <v>1523</v>
      </c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1524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1525</v>
      </c>
      <c r="X134" s="152" t="s">
        <v>1005</v>
      </c>
      <c r="Y134" s="129" t="s">
        <v>1008</v>
      </c>
      <c r="Z134" s="129"/>
      <c r="AA134" s="71" t="s">
        <v>1526</v>
      </c>
      <c r="AB134" s="59" t="s">
        <v>997</v>
      </c>
      <c r="AC134" s="59"/>
      <c r="AD134" s="135">
        <v>0.29166666666666669</v>
      </c>
      <c r="AE134" s="151" t="s">
        <v>1527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651TBS/TBSPAT2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>
        <v>0.40555555555555556</v>
      </c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>
        <v>1</v>
      </c>
      <c r="BI134" s="14"/>
      <c r="BJ134" s="14" t="s">
        <v>1528</v>
      </c>
      <c r="BK134" s="14" t="s">
        <v>1529</v>
      </c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1530</v>
      </c>
      <c r="N136" s="149" t="s">
        <v>1530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1531</v>
      </c>
      <c r="X136" s="152" t="s">
        <v>1005</v>
      </c>
      <c r="Y136" s="129" t="s">
        <v>1008</v>
      </c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>
        <v>0.32916666666666666</v>
      </c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 t="s">
        <v>1532</v>
      </c>
      <c r="BK136" s="14" t="s">
        <v>1532</v>
      </c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1533</v>
      </c>
      <c r="N138" s="149" t="s">
        <v>1534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 t="s">
        <v>999</v>
      </c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>
        <v>0.33333333333333331</v>
      </c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 t="s">
        <v>1535</v>
      </c>
      <c r="BK138" s="14" t="s">
        <v>1535</v>
      </c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1536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1537</v>
      </c>
      <c r="X139" s="152" t="s">
        <v>1000</v>
      </c>
      <c r="Y139" s="129" t="s">
        <v>999</v>
      </c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>
        <v>0.30833333333333335</v>
      </c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>
        <v>1</v>
      </c>
      <c r="BI139" s="14"/>
      <c r="BJ139" s="14" t="s">
        <v>1538</v>
      </c>
      <c r="BK139" s="14" t="s">
        <v>1539</v>
      </c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1540</v>
      </c>
      <c r="W142" s="135" t="s">
        <v>1541</v>
      </c>
      <c r="X142" s="152" t="s">
        <v>1000</v>
      </c>
      <c r="Y142" s="129" t="s">
        <v>999</v>
      </c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>
        <v>0.36249999999999999</v>
      </c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>
        <v>1</v>
      </c>
      <c r="BI142" s="14"/>
      <c r="BJ142" s="14" t="s">
        <v>1542</v>
      </c>
      <c r="BK142" s="14" t="s">
        <v>1543</v>
      </c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 t="s">
        <v>1008</v>
      </c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>
        <v>0.32708333333333334</v>
      </c>
      <c r="AS143" s="32">
        <v>0.43611111111111112</v>
      </c>
      <c r="AT143" s="32">
        <v>0.51944444444444449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0</v>
      </c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>
        <v>2</v>
      </c>
      <c r="BI143" s="14"/>
      <c r="BJ143" s="14" t="s">
        <v>1544</v>
      </c>
      <c r="BK143" s="14" t="s">
        <v>1545</v>
      </c>
      <c r="BL143" s="13"/>
      <c r="BM143" s="12"/>
      <c r="BN143" s="12"/>
      <c r="BO143" s="130"/>
      <c r="BP143" s="14"/>
      <c r="BQ143" s="10" t="str">
        <f t="shared" si="13"/>
        <v>Produção</v>
      </c>
      <c r="BR143" s="15">
        <f t="shared" si="14"/>
        <v>1.0000000000000004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0.43611111111111112</v>
      </c>
      <c r="AT144" s="32">
        <v>0.51944444444444449</v>
      </c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8.333333333333337E-2</v>
      </c>
      <c r="AZ144" s="11"/>
      <c r="BA144" s="60">
        <v>312</v>
      </c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>
        <v>2</v>
      </c>
      <c r="BI144" s="14"/>
      <c r="BJ144" s="14" t="s">
        <v>1544</v>
      </c>
      <c r="BK144" s="14" t="s">
        <v>1545</v>
      </c>
      <c r="BL144" s="13"/>
      <c r="BM144" s="12"/>
      <c r="BN144" s="12"/>
      <c r="BO144" s="130"/>
      <c r="BP144" s="14"/>
      <c r="BQ144" s="10" t="str">
        <f t="shared" si="13"/>
        <v>Aderente</v>
      </c>
      <c r="BR144" s="15">
        <f t="shared" si="14"/>
        <v>1.0000000000000004</v>
      </c>
      <c r="BS144" s="15">
        <f t="shared" si="15"/>
        <v>1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>D147&amp;B146</f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IF(D147="","*",VLOOKUP(F146,BS_ATIVIDADE[#All],3,FALSE))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IF(D147="","*",VLOOKUP(AI146,BS_ATIVIDADE[#Data],3,FALSE))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IF(D147="","*",IFERROR(IF(ISODD(COUNT(AS146:AX148)),"ERRO",SUM((AT146-AS146),(AV146-AU146),(AX146-AW146))),"ERRO"))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e">
        <f>#REF!&amp;B147</f>
        <v>#REF!</v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e">
        <f>IF(#REF!="","*",VLOOKUP(F147,BS_ATIVIDADE[#All],3,FALSE))</f>
        <v>#REF!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e">
        <f>IF(#REF!="","*",VLOOKUP(AI147,BS_ATIVIDADE[#Data],3,FALSE))</f>
        <v>#REF!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e">
        <f>IF(#REF!="","*",IFERROR(IF(ISODD(COUNT(AS147:AX149)),"ERRO",SUM((AT147-AS147),(AV147-AU147),(AX147-AW147))),"ERRO"))</f>
        <v>#REF!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8" operator="equal">
      <formula>"ERRO"</formula>
    </cfRule>
  </conditionalFormatting>
  <conditionalFormatting sqref="X4 Y1:Z5 Y8:Z779">
    <cfRule type="cellIs" dxfId="123" priority="18497" operator="equal">
      <formula>"OPORTUNIDADE"</formula>
    </cfRule>
  </conditionalFormatting>
  <conditionalFormatting sqref="AZ6:AZ779">
    <cfRule type="expression" dxfId="122" priority="18492">
      <formula>$BU6=1</formula>
    </cfRule>
  </conditionalFormatting>
  <conditionalFormatting sqref="BQ6:BQ779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79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79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2:Y1048576">
    <cfRule type="cellIs" dxfId="111" priority="18314" operator="equal">
      <formula>"OPORTUNIDADE"</formula>
    </cfRule>
  </conditionalFormatting>
  <conditionalFormatting sqref="Y1047842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79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2:BK135 BK137 BK139:BK779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allowBlank="1" showInputMessage="1" showErrorMessage="1" sqref="BC6:BD779" xr:uid="{DA339A89-DDF9-4B37-A386-8A8CB98BBFC6}"/>
    <dataValidation type="list" allowBlank="1" showInputMessage="1" showErrorMessage="1" sqref="D6:D77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1546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1547</v>
      </c>
      <c r="E3" s="186" t="s">
        <v>1548</v>
      </c>
      <c r="F3" s="186" t="s">
        <v>1549</v>
      </c>
      <c r="G3" s="186" t="s">
        <v>1550</v>
      </c>
      <c r="H3" s="186" t="s">
        <v>1551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1552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1553</v>
      </c>
      <c r="D12" s="187">
        <v>9049</v>
      </c>
      <c r="E12" s="188">
        <v>46044</v>
      </c>
      <c r="F12" s="190" t="s">
        <v>1554</v>
      </c>
      <c r="G12" s="187" t="s">
        <v>1555</v>
      </c>
      <c r="H12" s="187"/>
    </row>
    <row r="13" spans="3:8">
      <c r="C13" s="187" t="s">
        <v>1553</v>
      </c>
      <c r="D13" s="187">
        <v>9044</v>
      </c>
      <c r="E13" s="188">
        <v>46044</v>
      </c>
      <c r="F13" s="190" t="s">
        <v>1556</v>
      </c>
      <c r="G13" s="187" t="s">
        <v>1557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1558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1558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1559</v>
      </c>
      <c r="C2" s="83" t="s">
        <v>1196</v>
      </c>
      <c r="D2" s="83" t="s">
        <v>1198</v>
      </c>
      <c r="E2" s="83" t="s">
        <v>1560</v>
      </c>
      <c r="F2" s="83" t="s">
        <v>1561</v>
      </c>
      <c r="G2" s="83" t="s">
        <v>1562</v>
      </c>
      <c r="H2" s="83" t="s">
        <v>1563</v>
      </c>
      <c r="I2" s="83" t="s">
        <v>1564</v>
      </c>
      <c r="J2" s="83" t="s">
        <v>1565</v>
      </c>
      <c r="K2" s="109" t="s">
        <v>1566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>
        <f>IF(FN_MC!B131="","*",FN_MC!B131)</f>
        <v>46065</v>
      </c>
      <c r="D149" s="101" t="str">
        <f>IF(FN_MC!D131="","*",FN_MC!D131)</f>
        <v>W94</v>
      </c>
      <c r="E149" s="101" t="str">
        <f>IF(FN_MC!H131="","*",FN_MC!H131)</f>
        <v>PIT2</v>
      </c>
      <c r="F149" s="114" t="str">
        <f>IF(FN_MC!M131="","*",FN_MC!M131)</f>
        <v>PUD-PIT</v>
      </c>
      <c r="G149" s="101" t="str">
        <f>IF(FN_MC!I131="","*",FN_MC!I131)</f>
        <v>PSS2</v>
      </c>
      <c r="H149" s="101" t="str">
        <f>IF(FN_MC!AB131="","*",FN_MC!AB131)</f>
        <v>FIXO</v>
      </c>
      <c r="I149" s="101" t="str">
        <f>IF(FN_MC!AC131="","*",FN_MC!AC131)</f>
        <v>*</v>
      </c>
      <c r="J149" s="102" t="str">
        <f>IF(FN_MC!AA131="","*",FN_MC!AA131)</f>
        <v>1 Thiago</v>
      </c>
      <c r="K149" s="112">
        <f>IF(FN_MC!AD131="","*",FN_MC!AD131)</f>
        <v>0.29166666666666669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SIM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OPORTUNIDADE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OPORTUNIDADE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SIM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SIM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SIM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OPORTUNIDADE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OPORTUNIDADE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IF(FN_MC!D147="","*",FN_MC!D147)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e">
        <f>IF(FN_MC!#REF!="","*",FN_MC!#REF!)</f>
        <v>#REF!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opLeftCell="A2" workbookViewId="0">
      <selection activeCell="A2" sqref="A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1567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1568</v>
      </c>
      <c r="B3" s="91" t="s">
        <v>1569</v>
      </c>
      <c r="C3" s="91" t="s">
        <v>7</v>
      </c>
      <c r="D3" s="92" t="s">
        <v>1211</v>
      </c>
      <c r="E3" s="92" t="s">
        <v>366</v>
      </c>
      <c r="F3" s="92" t="s">
        <v>1570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1571</v>
      </c>
      <c r="T3" s="94" t="s">
        <v>1214</v>
      </c>
      <c r="U3" s="90">
        <f ca="1">TODAY()-1</f>
        <v>46065</v>
      </c>
      <c r="V3" s="90">
        <f ca="1">U3-1</f>
        <v>46064</v>
      </c>
      <c r="W3" s="90">
        <f ca="1">V3-1</f>
        <v>46063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1</v>
      </c>
      <c r="W4" s="98">
        <f ca="1">_xlfn.XLOOKUP(G4&amp;$W$3,BS_CONTROLE[CHAVE],BS_CONTROLE[Quantidade_11],"-")</f>
        <v>27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4512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1</v>
      </c>
      <c r="W8" s="98">
        <f ca="1">_xlfn.XLOOKUP(G8&amp;$W$3,BS_CONTROLE[CHAVE],BS_CONTROLE[Quantidade_11],"-")</f>
        <v>27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20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936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>
        <f ca="1">_xlfn.XLOOKUP(G14&amp;$U$3,BS_CONTROLE[CHAVE],BS_CONTROLE[Quantidade_11],"-")</f>
        <v>4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2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4512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1</v>
      </c>
      <c r="W16" s="98">
        <f ca="1">_xlfn.XLOOKUP(G16&amp;$W$3,BS_CONTROLE[CHAVE],BS_CONTROLE[Quantidade_11],"-")</f>
        <v>27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20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936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4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14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4512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1</v>
      </c>
      <c r="W29" s="98">
        <f ca="1">_xlfn.XLOOKUP(G29&amp;$W$3,BS_CONTROLE[CHAVE],BS_CONTROLE[Quantidade_11],"-")</f>
        <v>27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936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4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250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100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8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4512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1</v>
      </c>
      <c r="W43" s="98">
        <f ca="1">_xlfn.XLOOKUP(G43&amp;$W$3,BS_CONTROLE[CHAVE],BS_CONTROLE[Quantidade_11],"-")</f>
        <v>27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936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4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250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100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4512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1</v>
      </c>
      <c r="W54" s="98">
        <f ca="1">_xlfn.XLOOKUP(G54&amp;$W$3,BS_CONTROLE[CHAVE],BS_CONTROLE[Quantidade_11],"-")</f>
        <v>27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250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100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4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936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4512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1525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4512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1525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4512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1</v>
      </c>
      <c r="W72" s="98">
        <f ca="1">_xlfn.XLOOKUP(G72&amp;$W$3,BS_CONTROLE[CHAVE],BS_CONTROLE[Quantidade_11],"-")</f>
        <v>27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250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100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4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1525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125</v>
      </c>
      <c r="W79" s="98" t="str">
        <f ca="1">_xlfn.XLOOKUP(G79&amp;$W$3,BS_CONTROLE[CHAVE],BS_CONTROLE[Quantidade_11],"-")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 t="str">
        <f ca="1">_xlfn.XLOOKUP(G80&amp;$W$3,BS_CONTROLE[CHAVE],BS_CONTROLE[Quantidade_11],"-")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8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4512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1</v>
      </c>
      <c r="W83" s="98">
        <f ca="1">_xlfn.XLOOKUP(G83&amp;$W$3,BS_CONTROLE[CHAVE],BS_CONTROLE[Quantidade_11],"-")</f>
        <v>27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4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1525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936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250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>
        <f ca="1">_xlfn.XLOOKUP(G97&amp;$U$3,BS_CONTROLE[CHAVE],BS_CONTROLE[Quantidade_11],"-")</f>
        <v>4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2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14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0</v>
      </c>
      <c r="W99" s="98">
        <f ca="1">_xlfn.XLOOKUP(G99&amp;$W$3,BS_CONTROLE[CHAVE],BS_CONTROLE[Quantidade_11],"-")</f>
        <v>4512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 t="str">
        <f ca="1">_xlfn.XLOOKUP(G100&amp;$U$3,BS_CONTROLE[CHAVE],BS_CONTROLE[Quantidade_11],"-")</f>
        <v>-</v>
      </c>
      <c r="V100" s="98">
        <f ca="1">_xlfn.XLOOKUP(G100&amp;$V$3,BS_CONTROLE[CHAVE],BS_CONTROLE[Quantidade_11],"-")</f>
        <v>20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2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1</v>
      </c>
      <c r="W102" s="98">
        <f ca="1">_xlfn.XLOOKUP(G102&amp;$W$3,BS_CONTROLE[CHAVE],BS_CONTROLE[Quantidade_11],"-")</f>
        <v>27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250</v>
      </c>
      <c r="V104" s="98">
        <f ca="1">_xlfn.XLOOKUP(G104&amp;$V$3,BS_CONTROLE[CHAVE],BS_CONTROLE[Quantidade_11],"-")</f>
        <v>210</v>
      </c>
      <c r="W104" s="98">
        <f ca="1">_xlfn.XLOOKUP(G104&amp;$W$3,BS_CONTROLE[CHAVE],BS_CONTROLE[Quantidade_11],"-")</f>
        <v>100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1525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1000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15</v>
      </c>
      <c r="V106" s="98">
        <f ca="1">_xlfn.XLOOKUP(G106&amp;$V$3,BS_CONTROLE[CHAVE],BS_CONTROLE[Quantidade_11],"-")</f>
        <v>0</v>
      </c>
      <c r="W106" s="98">
        <f ca="1">_xlfn.XLOOKUP(G106&amp;$W$3,BS_CONTROLE[CHAVE],BS_CONTROLE[Quantidade_11],"-")</f>
        <v>4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2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312</v>
      </c>
      <c r="V108" s="98">
        <f ca="1">_xlfn.XLOOKUP(G108&amp;$V$3,BS_CONTROLE[CHAVE],BS_CONTROLE[Quantidade_11],"-")</f>
        <v>125</v>
      </c>
      <c r="W108" s="98" t="str">
        <f ca="1">_xlfn.XLOOKUP(G108&amp;$W$3,BS_CONTROLE[CHAVE],BS_CONTROLE[Quantidade_11],"-")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8</v>
      </c>
      <c r="W109" s="98" t="str">
        <f ca="1">_xlfn.XLOOKUP(G109&amp;$W$3,BS_CONTROLE[CHAVE],BS_CONTROLE[Quantidade_11],"-")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0</v>
      </c>
      <c r="W112" s="98">
        <f ca="1">_xlfn.XLOOKUP(G112&amp;$W$3,BS_CONTROLE[CHAVE],BS_CONTROLE[Quantidade_11],"-")</f>
        <v>4512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27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>
        <f ca="1">_xlfn.XLOOKUP(G115&amp;$U$3,BS_CONTROLE[CHAVE],BS_CONTROLE[Quantidade_11],"-")</f>
        <v>12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2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250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250</v>
      </c>
      <c r="V118" s="98">
        <f ca="1">_xlfn.XLOOKUP(G118&amp;$V$3,BS_CONTROLE[CHAVE],BS_CONTROLE[Quantidade_11],"-")</f>
        <v>210</v>
      </c>
      <c r="W118" s="98">
        <f ca="1">_xlfn.XLOOKUP(G118&amp;$W$3,BS_CONTROLE[CHAVE],BS_CONTROLE[Quantidade_11],"-")</f>
        <v>100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15</v>
      </c>
      <c r="V119" s="98">
        <f ca="1">_xlfn.XLOOKUP(G119&amp;$V$3,BS_CONTROLE[CHAVE],BS_CONTROLE[Quantidade_11],"-")</f>
        <v>0</v>
      </c>
      <c r="W119" s="98">
        <f ca="1">_xlfn.XLOOKUP(G119&amp;$W$3,BS_CONTROLE[CHAVE],BS_CONTROLE[Quantidade_11],"-")</f>
        <v>4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1525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1000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312</v>
      </c>
      <c r="V125" s="98">
        <f ca="1">_xlfn.XLOOKUP(G125&amp;$V$3,BS_CONTROLE[CHAVE],BS_CONTROLE[Quantidade_11],"-")</f>
        <v>125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>
        <f ca="1">_xlfn.XLOOKUP(G126&amp;$U$3,BS_CONTROLE[CHAVE],BS_CONTROLE[Quantidade_11],"-")</f>
        <v>4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Extra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PRV-POV</v>
      </c>
      <c r="F128" s="96">
        <f>IF(FN_MC!B131="","*",FN_MC!B131)</f>
        <v>46065</v>
      </c>
      <c r="G128" s="96" t="str">
        <f>IF(FN_MC!D131="","*",FN_MC!D131)</f>
        <v>W94</v>
      </c>
      <c r="H128" s="96" t="str">
        <f>IF(FN_MC!F131="","*",FN_MC!F131)</f>
        <v>PDM - PEDRA - DESCARGA</v>
      </c>
      <c r="I128" s="96" t="str">
        <f>IF(FN_MC!H131="","*",FN_MC!H131)</f>
        <v>PIT2</v>
      </c>
      <c r="J128" s="96" t="str">
        <f>IF(FN_MC!I131="","*",FN_MC!I131)</f>
        <v>PSS2</v>
      </c>
      <c r="K128" s="96" t="str">
        <f>IF(FN_MC!M131="","*",FN_MC!M131)</f>
        <v>PUD-PIT</v>
      </c>
      <c r="L128" s="196" t="str">
        <f>IF(FN_MC!N131="","*",FN_MC!N131)</f>
        <v>K96PUD</v>
      </c>
      <c r="M128" s="97">
        <f>IF(FN_MC!J131="","*",FN_MC!J131)</f>
        <v>103</v>
      </c>
      <c r="N128" s="183">
        <f>IF(FN_MC!K131="","*",FN_MC!K131)</f>
        <v>2088.4</v>
      </c>
      <c r="O128" s="183" t="str">
        <f>IF(FN_MC!L131="","*",FN_MC!L131)</f>
        <v>-</v>
      </c>
      <c r="P128" s="107">
        <f>IF(FN_MC!O131="","*",FN_MC!O131)</f>
        <v>0.375</v>
      </c>
      <c r="Q128" s="107">
        <f>IF(FN_MC!P131="","*",FN_MC!P131)</f>
        <v>4.1666666666666664E-2</v>
      </c>
      <c r="R128" s="96" t="str">
        <f>IF(FN_MC!Q131="","*",CONCATENATE(FN_MC!Q131," ",FN_MC!R131))</f>
        <v>13 VAGÕES</v>
      </c>
      <c r="S128" s="96" t="str">
        <f>IF(FN_MC!V131="","*",FN_MC!V131)</f>
        <v xml:space="preserve">Lucas </v>
      </c>
      <c r="T128" s="96" t="str">
        <f>IF(FN_MC!W131="","*",FN_MC!W131)</f>
        <v xml:space="preserve">Descarga de pedra </v>
      </c>
      <c r="U128" s="98">
        <f ca="1">_xlfn.XLOOKUP(G128&amp;$U$3,BS_CONTROLE[CHAVE],BS_CONTROLE[Quantidade_11],"-")</f>
        <v>14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13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4512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651TBS/TBSPAT2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1</v>
      </c>
      <c r="W131" s="98">
        <f ca="1">_xlfn.XLOOKUP(G131&amp;$W$3,BS_CONTROLE[CHAVE],BS_CONTROLE[Quantidade_11],"-")</f>
        <v>27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2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SIM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15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4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2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312</v>
      </c>
      <c r="V141" s="98">
        <f ca="1">_xlfn.XLOOKUP(G141&amp;$V$3,BS_CONTROLE[CHAVE],BS_CONTROLE[Quantidade_11],"-")</f>
        <v>125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IF(FN_MC!D147="","*",FN_MC!D147)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e">
        <f>IF(FN_MC!#REF!="","*",FN_MC!#REF!)</f>
        <v>#REF!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e">
        <f ca="1">_xlfn.XLOOKUP(G144&amp;$U$3,BS_CONTROLE[CHAVE],BS_CONTROLE[Quantidade_11],"-")</f>
        <v>#REF!</v>
      </c>
      <c r="V144" s="98" t="e">
        <f ca="1">_xlfn.XLOOKUP(G144&amp;$V$3,BS_CONTROLE[CHAVE],BS_CONTROLE[Quantidade_11],"-")</f>
        <v>#REF!</v>
      </c>
      <c r="W144" s="98" t="e">
        <f ca="1">_xlfn.XLOOKUP(G144&amp;$W$3,BS_CONTROLE[CHAVE],BS_CONTROLE[Quantidade_11],"-")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3" dateTimeGrouping="day"/>
      </filters>
    </filterColumn>
    <filterColumn colId="6">
      <filters>
        <filter val="V86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1572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1573</v>
      </c>
      <c r="C4" s="191" t="s">
        <v>1574</v>
      </c>
      <c r="D4" s="191" t="s">
        <v>1575</v>
      </c>
      <c r="E4" s="191" t="s">
        <v>1576</v>
      </c>
      <c r="F4" s="191" t="s">
        <v>366</v>
      </c>
      <c r="G4" s="191" t="s">
        <v>1577</v>
      </c>
    </row>
    <row r="5" spans="2:7">
      <c r="B5" s="192" t="s">
        <v>1578</v>
      </c>
      <c r="C5" s="192">
        <v>309525</v>
      </c>
      <c r="D5" s="192" t="s">
        <v>1579</v>
      </c>
      <c r="E5" s="192" t="s">
        <v>249</v>
      </c>
      <c r="F5" s="192" t="s">
        <v>1580</v>
      </c>
      <c r="G5" s="193">
        <v>46296</v>
      </c>
    </row>
    <row r="6" spans="2:7">
      <c r="B6" s="192" t="s">
        <v>1581</v>
      </c>
      <c r="C6" s="192">
        <v>257410</v>
      </c>
      <c r="D6" s="192" t="s">
        <v>1582</v>
      </c>
      <c r="E6" s="192" t="s">
        <v>249</v>
      </c>
      <c r="F6" s="192" t="s">
        <v>1580</v>
      </c>
      <c r="G6" s="193"/>
    </row>
    <row r="7" spans="2:7">
      <c r="B7" s="192" t="s">
        <v>1481</v>
      </c>
      <c r="C7" s="192">
        <v>256875</v>
      </c>
      <c r="D7" s="192" t="s">
        <v>1583</v>
      </c>
      <c r="E7" s="192" t="s">
        <v>249</v>
      </c>
      <c r="F7" s="192" t="s">
        <v>1580</v>
      </c>
      <c r="G7" s="193">
        <v>46296</v>
      </c>
    </row>
    <row r="8" spans="2:7">
      <c r="B8" s="192" t="s">
        <v>1584</v>
      </c>
      <c r="C8" s="192">
        <v>257278</v>
      </c>
      <c r="D8" s="192" t="s">
        <v>1585</v>
      </c>
      <c r="E8" s="192" t="s">
        <v>240</v>
      </c>
      <c r="F8" s="192" t="s">
        <v>1586</v>
      </c>
      <c r="G8" s="193">
        <v>46235</v>
      </c>
    </row>
    <row r="9" spans="2:7">
      <c r="B9" s="192" t="s">
        <v>1587</v>
      </c>
      <c r="C9" s="192">
        <v>261794</v>
      </c>
      <c r="D9" s="192" t="s">
        <v>1588</v>
      </c>
      <c r="E9" s="192" t="s">
        <v>240</v>
      </c>
      <c r="F9" s="192" t="s">
        <v>1586</v>
      </c>
      <c r="G9" s="193">
        <v>46082</v>
      </c>
    </row>
    <row r="10" spans="2:7">
      <c r="B10" s="192" t="s">
        <v>1589</v>
      </c>
      <c r="C10" s="192">
        <v>257033</v>
      </c>
      <c r="D10" s="192" t="s">
        <v>1590</v>
      </c>
      <c r="E10" s="192" t="s">
        <v>240</v>
      </c>
      <c r="F10" s="192" t="s">
        <v>480</v>
      </c>
      <c r="G10" s="192" t="s">
        <v>1591</v>
      </c>
    </row>
    <row r="11" spans="2:7">
      <c r="B11" s="192" t="s">
        <v>1592</v>
      </c>
      <c r="C11" s="192">
        <v>396578</v>
      </c>
      <c r="D11" s="192" t="s">
        <v>1593</v>
      </c>
      <c r="E11" s="192" t="s">
        <v>240</v>
      </c>
      <c r="F11" s="192" t="s">
        <v>480</v>
      </c>
      <c r="G11" s="192" t="s">
        <v>1591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1594</v>
      </c>
      <c r="D5" s="274"/>
      <c r="E5" s="274"/>
      <c r="F5" s="274"/>
      <c r="G5" s="274"/>
      <c r="H5" s="274"/>
      <c r="I5" s="274"/>
      <c r="J5" s="275"/>
      <c r="K5" s="276" t="s">
        <v>1595</v>
      </c>
      <c r="L5" s="277"/>
      <c r="M5" s="277"/>
      <c r="N5" s="277"/>
      <c r="O5" s="278" t="s">
        <v>1596</v>
      </c>
      <c r="P5" s="279"/>
      <c r="Q5" s="280"/>
    </row>
    <row r="6" spans="1:17" s="81" customFormat="1" ht="15.75" customHeight="1">
      <c r="A6" s="75" t="s">
        <v>1570</v>
      </c>
      <c r="B6" s="82" t="s">
        <v>1569</v>
      </c>
      <c r="C6" s="83" t="s">
        <v>1211</v>
      </c>
      <c r="D6" s="84" t="s">
        <v>1212</v>
      </c>
      <c r="E6" s="83" t="s">
        <v>1597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1598</v>
      </c>
      <c r="M6" s="116" t="s">
        <v>29</v>
      </c>
      <c r="N6" s="117" t="s">
        <v>1206</v>
      </c>
      <c r="O6" s="165" t="s">
        <v>1249</v>
      </c>
      <c r="P6" s="128"/>
      <c r="Q6" s="139" t="s">
        <v>1599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MC1 09:33, faixa após W70 as  12:30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1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Pronto as 07:54h - chuva no local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Pronto as 8h - previsão de faixa as 10:30h - chuva no local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1</v>
      </c>
      <c r="P161" s="78"/>
      <c r="Q161" s="120" t="str">
        <f>IF($A$2=1,IF(FN_MC!BJ139="","*",FN_MC!BJ139),IF(FN_MC!BK139="","*",FN_MC!BK139))</f>
        <v>MC1 07:24 autorizado 09:45, em intervalo 11:03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1</v>
      </c>
      <c r="P164" s="78"/>
      <c r="Q164" s="120" t="str">
        <f>IF($A$2=1,IF(FN_MC!BJ142="","*",FN_MC!BJ142),IF(FN_MC!BK142="","*",FN_MC!BK142))</f>
        <v>MC1 08:42, autorizado 09:17, em intervalo 11:23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2</v>
      </c>
      <c r="P165" s="78"/>
      <c r="Q165" s="120" t="str">
        <f>IF($A$2=1,IF(FN_MC!BJ143="","*",FN_MC!BJ143),IF(FN_MC!BK143="","*",FN_MC!BK143))</f>
        <v xml:space="preserve"> Intervalo das 10:28h as 12:28h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2</v>
      </c>
      <c r="P166" s="78"/>
      <c r="Q166" s="120" t="str">
        <f>IF($A$2=1,IF(FN_MC!BJ144="","*",FN_MC!BJ144),IF(FN_MC!BK144="","*",FN_MC!BK144))</f>
        <v xml:space="preserve"> Intervalo das 10:28h as 12:28h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IF(FN_MC!D147="","*",FN_MC!D147)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e">
        <f>IF(FN_MC!#REF!="","*",FN_MC!#REF!)</f>
        <v>#REF!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2026-02-13T15:10:22Z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