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20" documentId="8_{B6337239-1A00-434D-AAD0-422EA1FEB5AE}" xr6:coauthVersionLast="47" xr6:coauthVersionMax="47" xr10:uidLastSave="{D9D72B38-5EDE-4941-AD98-FAC03519A6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<sst xmlns="http://schemas.openxmlformats.org/spreadsheetml/2006/main" count="5521" uniqueCount="1406">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</sst>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T49" activePane="bottomRight" state="frozen"/>
      <selection pane="bottomRight" activeCell="D53" sqref="D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68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1375</v>
      </c>
      <c r="W65" s="173" t="s">
        <v>1376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1377</v>
      </c>
      <c r="X66" s="218" t="s">
        <v>957</v>
      </c>
      <c r="Y66" s="158"/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1378</v>
      </c>
      <c r="X67" s="218" t="s">
        <v>957</v>
      </c>
      <c r="Y67" s="158"/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1379</v>
      </c>
      <c r="W69" s="173" t="s">
        <v>1380</v>
      </c>
      <c r="X69" s="218" t="s">
        <v>957</v>
      </c>
      <c r="Y69" s="158"/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1381</v>
      </c>
      <c r="W70" s="173" t="s">
        <v>1215</v>
      </c>
      <c r="X70" s="218" t="s">
        <v>957</v>
      </c>
      <c r="Y70" s="158"/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1352</v>
      </c>
      <c r="W72" s="173" t="s">
        <v>1382</v>
      </c>
      <c r="X72" s="218" t="s">
        <v>957</v>
      </c>
      <c r="Y72" s="158"/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LEÔNCIO (TF-526)45966</v>
      </c>
      <c r="B73" s="171">
        <v>45966</v>
      </c>
      <c r="C73" s="8">
        <f>IF(BS_CONTROLE[[#This Row],[DATA]]="","",WEEKNUM(BS_CONTROLE[[#This Row],[DATA]]))</f>
        <v>45</v>
      </c>
      <c r="D73" s="51" t="s">
        <v>913</v>
      </c>
      <c r="E73" s="320">
        <v>68</v>
      </c>
      <c r="F73" s="172" t="s">
        <v>792</v>
      </c>
      <c r="G73" s="9" t="str">
        <f>IF(D73="","*",VLOOKUP(F73,BS_ATIVIDADE[#All],3,FALSE))</f>
        <v>SOLDA</v>
      </c>
      <c r="H73" s="173" t="s">
        <v>609</v>
      </c>
      <c r="I73" s="173" t="s">
        <v>609</v>
      </c>
      <c r="J73" s="217">
        <v>103</v>
      </c>
      <c r="K73" s="217">
        <v>1849</v>
      </c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3" s="173">
        <v>0.39583333333333331</v>
      </c>
      <c r="P73" s="173">
        <v>6.25E-2</v>
      </c>
      <c r="Q73" s="83">
        <v>1</v>
      </c>
      <c r="R73" s="10" t="str">
        <f>IFERROR(_xlfn.XLOOKUP(F73, BS_ATIVIDADE[ATIVIDADE],BS_ATIVIDADE[UNIDADE] ), "*")</f>
        <v>Nº DE SOLDA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3" s="80" t="str">
        <f>IFERROR(_xlfn.XLOOKUP(J73, BASE_MAPA!$E$2:$E$359, BASE_MAPA!$J$2:$J$359), "ERRO")</f>
        <v>OURO VERDE - LIGAÇÃO</v>
      </c>
      <c r="V73" s="198" t="s">
        <v>1383</v>
      </c>
      <c r="W73" s="173" t="s">
        <v>1215</v>
      </c>
      <c r="X73" s="218" t="s">
        <v>957</v>
      </c>
      <c r="Y73" s="158"/>
      <c r="Z73" s="158" t="s">
        <v>958</v>
      </c>
      <c r="AA73" s="83" t="s">
        <v>609</v>
      </c>
      <c r="AB73" s="70" t="s">
        <v>609</v>
      </c>
      <c r="AC73" s="70" t="s">
        <v>609</v>
      </c>
      <c r="AD73" s="173" t="s">
        <v>609</v>
      </c>
      <c r="AE73" s="83" t="s">
        <v>609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PAM-PSO</v>
      </c>
      <c r="AN73" s="284" t="str">
        <f>IF(BS_CONTROLE[[#This Row],[SB]]=0, "-", BS_CONTROLE[[#This Row],[SB]])</f>
        <v>PAMPSO</v>
      </c>
      <c r="AO73" s="285">
        <f>IF(BS_CONTROLE[[#This Row],[SUB]]=0, "-", BS_CONTROLE[[#This Row],[SUB]])</f>
        <v>103</v>
      </c>
      <c r="AP73" s="286">
        <f>IF(BS_CONTROLE[[#This Row],[KM - Inicio]]=0, "-", BS_CONTROLE[[#This Row],[KM - Inicio]])</f>
        <v>1849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3" s="11" t="str">
        <f>IFERROR(_xlfn.XLOOKUP(AO73, BASE_MAPA!$E$2:$E$359, BASE_MAPA!$J$2:$J$359), "ERRO")</f>
        <v>OURO VERDE - LIGAÇÃO</v>
      </c>
      <c r="BF73" s="287" t="str">
        <f>IF(BS_CONTROLE[[#This Row],[Responsavel pelo boletim]]=0, "-", BS_CONTROLE[[#This Row],[Responsavel pelo boletim]])</f>
        <v>Leoncio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A7145966</v>
      </c>
      <c r="B74" s="171">
        <v>45966</v>
      </c>
      <c r="C74" s="8">
        <f>IF(BS_CONTROLE[[#This Row],[DATA]]="","",WEEKNUM(BS_CONTROLE[[#This Row],[DATA]]))</f>
        <v>45</v>
      </c>
      <c r="D74" s="51" t="s">
        <v>723</v>
      </c>
      <c r="E74" s="320">
        <v>69</v>
      </c>
      <c r="F74" s="172" t="s">
        <v>683</v>
      </c>
      <c r="G74" s="9" t="str">
        <f>IF(D74="","*",VLOOKUP(F74,BS_ATIVIDADE[#All],3,FALSE))</f>
        <v>OUTROS</v>
      </c>
      <c r="H74" s="173" t="s">
        <v>278</v>
      </c>
      <c r="I74" s="173" t="s">
        <v>288</v>
      </c>
      <c r="J74" s="217">
        <v>102</v>
      </c>
      <c r="K74" s="217">
        <v>46</v>
      </c>
      <c r="L74" s="83" t="s">
        <v>609</v>
      </c>
      <c r="M74" s="204" t="s">
        <v>1384</v>
      </c>
      <c r="N74" s="204" t="s">
        <v>1384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4" s="80" t="str">
        <f>IFERROR(_xlfn.XLOOKUP(J74, BASE_MAPA!$E$2:$E$359, BASE_MAPA!$J$2:$J$359), "ERRO")</f>
        <v>OURO VERDE - ANÁPOLIS</v>
      </c>
      <c r="V74" s="198" t="s">
        <v>1385</v>
      </c>
      <c r="W74" s="173" t="s">
        <v>1386</v>
      </c>
      <c r="X74" s="218" t="s">
        <v>957</v>
      </c>
      <c r="Y74" s="158"/>
      <c r="Z74" s="158" t="s">
        <v>953</v>
      </c>
      <c r="AA74" s="83">
        <v>1</v>
      </c>
      <c r="AB74" s="70" t="s">
        <v>948</v>
      </c>
      <c r="AC74" s="70" t="s">
        <v>609</v>
      </c>
      <c r="AD74" s="173">
        <v>0.29166666666666669</v>
      </c>
      <c r="AE74" s="83"/>
      <c r="AF74" s="83"/>
      <c r="AG74" s="83"/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84" t="str">
        <f>IF(BS_CONTROLE[[#This Row],[Local - Partida]]=0, "-", BS_CONTROLE[[#This Row],[Local - Partida]])</f>
        <v>PAS</v>
      </c>
      <c r="AL74" s="284" t="str">
        <f>IF(BS_CONTROLE[[#This Row],[Local - Encerramento]]=0, "-", BS_CONTROLE[[#This Row],[Local - Encerramento]])</f>
        <v>PNV</v>
      </c>
      <c r="AM74" s="284" t="str">
        <f>IF(BS_CONTROLE[[#This Row],[Entre - Estações]]=0, "-", BS_CONTROLE[[#This Row],[Entre - Estações]])</f>
        <v>PASPNV</v>
      </c>
      <c r="AN74" s="284" t="str">
        <f>IF(BS_CONTROLE[[#This Row],[SB]]=0, "-", BS_CONTROLE[[#This Row],[SB]])</f>
        <v>PASPNV</v>
      </c>
      <c r="AO74" s="285">
        <f>IF(BS_CONTROLE[[#This Row],[SUB]]=0, "-", BS_CONTROLE[[#This Row],[SUB]])</f>
        <v>102</v>
      </c>
      <c r="AP74" s="286">
        <f>IF(BS_CONTROLE[[#This Row],[KM - Inicio]]=0, "-", BS_CONTROLE[[#This Row],[KM - Inicio]])</f>
        <v>46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4" s="11" t="str">
        <f>IFERROR(_xlfn.XLOOKUP(AO74, BASE_MAPA!$E$2:$E$359, BASE_MAPA!$J$2:$J$359), "ERRO")</f>
        <v>OURO VERDE - ANÁPOLIS</v>
      </c>
      <c r="BF74" s="287" t="str">
        <f>IF(BS_CONTROLE[[#This Row],[Responsavel pelo boletim]]=0, "-", BS_CONTROLE[[#This Row],[Responsavel pelo boletim]])</f>
        <v>Deydson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1387</v>
      </c>
      <c r="D5" s="355"/>
      <c r="E5" s="355"/>
      <c r="F5" s="355"/>
      <c r="G5" s="355"/>
      <c r="H5" s="355"/>
      <c r="I5" s="355"/>
      <c r="J5" s="356"/>
      <c r="K5" s="357" t="s">
        <v>1388</v>
      </c>
      <c r="L5" s="358"/>
      <c r="M5" s="358"/>
      <c r="N5" s="358"/>
      <c r="O5" s="359" t="s">
        <v>1389</v>
      </c>
      <c r="P5" s="360"/>
      <c r="Q5" s="361"/>
    </row>
    <row r="6" spans="1:17" s="93" customFormat="1" ht="15.75" customHeight="1">
      <c r="A6" s="87" t="s">
        <v>1390</v>
      </c>
      <c r="B6" s="94" t="s">
        <v>1391</v>
      </c>
      <c r="C6" s="95" t="s">
        <v>1163</v>
      </c>
      <c r="D6" s="96" t="s">
        <v>1164</v>
      </c>
      <c r="E6" s="95" t="s">
        <v>1392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1393</v>
      </c>
      <c r="M6" s="139" t="s">
        <v>628</v>
      </c>
      <c r="N6" s="140" t="s">
        <v>1158</v>
      </c>
      <c r="O6" s="246" t="s">
        <v>1201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PRV-POV</v>
      </c>
      <c r="E75" s="99" t="str">
        <f>IF(FN_MC!D73="","*",FN_MC!D73)</f>
        <v>LEÔNCIO (TF-526)</v>
      </c>
      <c r="F75" s="99" t="str">
        <f>IF(FN_MC!H73="","*",FN_MC!H73)</f>
        <v>-</v>
      </c>
      <c r="G75" s="99" t="str">
        <f>IF(FN_MC!M73="","*",FN_MC!M73)</f>
        <v>PAM-PSO</v>
      </c>
      <c r="H75" s="154">
        <f>IF(FN_MC!K73="","*",FN_MC!K73)</f>
        <v>1849</v>
      </c>
      <c r="I75" s="132">
        <f>IF(FN_MC!O73="","*",FN_MC!O73)</f>
        <v>0.39583333333333331</v>
      </c>
      <c r="J75" s="132">
        <f>IF(FN_MC!P73="","*",FN_MC!P73)</f>
        <v>6.25E-2</v>
      </c>
      <c r="K75" s="141" t="str">
        <f>IF(FN_MC!AK73="","*",FN_MC!AK73)</f>
        <v>-</v>
      </c>
      <c r="L75" s="141" t="str">
        <f>IF(FN_MC!AM73="","*",FN_MC!AM73)</f>
        <v>PAM-PSO</v>
      </c>
      <c r="M75" s="141">
        <f>IF(FN_MC!AP73="","*",FN_MC!AP73)</f>
        <v>1849</v>
      </c>
      <c r="N75" s="141" t="str">
        <f>IF(FN_MC!AM73="","*",FN_MC!AM73)</f>
        <v>PAM-PSO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POV-PRV</v>
      </c>
      <c r="E76" s="99" t="str">
        <f>IF(FN_MC!D74="","*",FN_MC!D74)</f>
        <v>A71</v>
      </c>
      <c r="F76" s="99" t="str">
        <f>IF(FN_MC!H74="","*",FN_MC!H74)</f>
        <v>PAS</v>
      </c>
      <c r="G76" s="99" t="str">
        <f>IF(FN_MC!M74="","*",FN_MC!M74)</f>
        <v>PASPNV</v>
      </c>
      <c r="H76" s="154">
        <f>IF(FN_MC!K74="","*",FN_MC!K74)</f>
        <v>46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PAS</v>
      </c>
      <c r="L76" s="141" t="str">
        <f>IF(FN_MC!AM74="","*",FN_MC!AM74)</f>
        <v>PASPNV</v>
      </c>
      <c r="M76" s="141">
        <f>IF(FN_MC!AP74="","*",FN_MC!AP74)</f>
        <v>46</v>
      </c>
      <c r="N76" s="141" t="str">
        <f>IF(FN_MC!AM74="","*",FN_MC!AM74)</f>
        <v>PASPNV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1395</v>
      </c>
      <c r="W1" s="367"/>
      <c r="X1" s="367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605</v>
      </c>
      <c r="D2" s="106" t="s">
        <v>1163</v>
      </c>
      <c r="E2" s="106" t="s">
        <v>1164</v>
      </c>
      <c r="F2" s="106" t="s">
        <v>1390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PRV-POV</v>
      </c>
      <c r="F71" s="110">
        <f>IF(FN_MC!B73="","*",FN_MC!B73)</f>
        <v>45966</v>
      </c>
      <c r="G71" s="110" t="str">
        <f>IF(FN_MC!D73="","*",FN_MC!D73)</f>
        <v>LEÔNCIO (TF-526)</v>
      </c>
      <c r="H71" s="110" t="str">
        <f>IF(FN_MC!F73="","*",FN_MC!F73)</f>
        <v>PDM - SOLDA</v>
      </c>
      <c r="I71" s="110" t="str">
        <f>IF(FN_MC!H73="","*",FN_MC!H73)</f>
        <v>-</v>
      </c>
      <c r="J71" s="110" t="str">
        <f>IF(FN_MC!I73="","*",FN_MC!I73)</f>
        <v>-</v>
      </c>
      <c r="K71" s="110" t="str">
        <f>IF(FN_MC!M73="","*",FN_MC!M73)</f>
        <v>PAM-PSO</v>
      </c>
      <c r="L71" s="110" t="str">
        <f>IF(FN_MC!N73="","*",FN_MC!N73)</f>
        <v>PAMPSO</v>
      </c>
      <c r="M71" s="111">
        <f>IF(FN_MC!J73="","*",FN_MC!J73)</f>
        <v>103</v>
      </c>
      <c r="N71" s="296">
        <f>IF(FN_MC!K73="","*",FN_MC!K73)</f>
        <v>1849</v>
      </c>
      <c r="O71" s="296" t="str">
        <f>IF(FN_MC!L73="","*",FN_MC!L73)</f>
        <v>-</v>
      </c>
      <c r="P71" s="111"/>
      <c r="Q71" s="128">
        <f>IF(FN_MC!O73="","*",FN_MC!O73)</f>
        <v>0.39583333333333331</v>
      </c>
      <c r="R71" s="128">
        <f>IF(FN_MC!P73="","*",FN_MC!P73)</f>
        <v>6.25E-2</v>
      </c>
      <c r="S71" s="110" t="str">
        <f>IF(FN_MC!Q73="","*",CONCATENATE(FN_MC!Q73," ",FN_MC!R73))</f>
        <v>1 Nº DE SOLDA</v>
      </c>
      <c r="T71" s="110" t="str">
        <f>IF(FN_MC!V73="","*",FN_MC!V73)</f>
        <v>Leoncio</v>
      </c>
      <c r="U71" s="110" t="str">
        <f>IF(FN_MC!W73="","*",FN_MC!W73)</f>
        <v>Execução de solda - Condicionado a temperatura</v>
      </c>
      <c r="V71" s="112">
        <f ca="1">_xlfn.XLOOKUP(G71&amp;$V$2,BS_CONTROLE[CHAVE],BS_CONTROLE[Quantidade_11],"-")</f>
        <v>2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POV-PRV</v>
      </c>
      <c r="F72" s="110">
        <f>IF(FN_MC!B74="","*",FN_MC!B74)</f>
        <v>45966</v>
      </c>
      <c r="G72" s="110" t="str">
        <f>IF(FN_MC!D74="","*",FN_MC!D74)</f>
        <v>A71</v>
      </c>
      <c r="H72" s="110" t="str">
        <f>IF(FN_MC!F74="","*",FN_MC!F74)</f>
        <v>INSPEÇÃO AUTO DE LINHA</v>
      </c>
      <c r="I72" s="110" t="str">
        <f>IF(FN_MC!H74="","*",FN_MC!H74)</f>
        <v>PAS</v>
      </c>
      <c r="J72" s="110" t="str">
        <f>IF(FN_MC!I74="","*",FN_MC!I74)</f>
        <v>PNV</v>
      </c>
      <c r="K72" s="110" t="str">
        <f>IF(FN_MC!M74="","*",FN_MC!M74)</f>
        <v>PASPNV</v>
      </c>
      <c r="L72" s="110" t="str">
        <f>IF(FN_MC!N74="","*",FN_MC!N74)</f>
        <v>PASPNV</v>
      </c>
      <c r="M72" s="111">
        <f>IF(FN_MC!J74="","*",FN_MC!J74)</f>
        <v>102</v>
      </c>
      <c r="N72" s="296">
        <f>IF(FN_MC!K74="","*",FN_MC!K74)</f>
        <v>46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Deydson</v>
      </c>
      <c r="U72" s="110" t="str">
        <f>IF(FN_MC!W74="","*",FN_MC!W74)</f>
        <v xml:space="preserve">Inspeção 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1398</v>
      </c>
      <c r="C2" s="95" t="s">
        <v>1148</v>
      </c>
      <c r="D2" s="95" t="s">
        <v>1150</v>
      </c>
      <c r="E2" s="95" t="s">
        <v>1399</v>
      </c>
      <c r="F2" s="95" t="s">
        <v>1400</v>
      </c>
      <c r="G2" s="95" t="s">
        <v>1401</v>
      </c>
      <c r="H2" s="95" t="s">
        <v>1402</v>
      </c>
      <c r="I2" s="95" t="s">
        <v>1403</v>
      </c>
      <c r="J2" s="95" t="s">
        <v>1404</v>
      </c>
      <c r="K2" s="131" t="s">
        <v>1405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45966</v>
      </c>
      <c r="D71" s="121" t="str">
        <f>IF(FN_MC!D73="","*",FN_MC!D73)</f>
        <v>LEÔNCIO (TF-526)</v>
      </c>
      <c r="E71" s="121" t="str">
        <f>IF(FN_MC!H73="","*",FN_MC!H73)</f>
        <v>-</v>
      </c>
      <c r="F71" s="137" t="str">
        <f>IF(FN_MC!M73="","*",FN_MC!M73)</f>
        <v>PAM-PSO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45966</v>
      </c>
      <c r="D72" s="121" t="str">
        <f>IF(FN_MC!D74="","*",FN_MC!D74)</f>
        <v>A71</v>
      </c>
      <c r="E72" s="121" t="str">
        <f>IF(FN_MC!H74="","*",FN_MC!H74)</f>
        <v>PAS</v>
      </c>
      <c r="F72" s="137" t="str">
        <f>IF(FN_MC!M74="","*",FN_MC!M74)</f>
        <v>PASPNV</v>
      </c>
      <c r="G72" s="121" t="str">
        <f>IF(FN_MC!I74="","*",FN_MC!I74)</f>
        <v>PNV</v>
      </c>
      <c r="H72" s="121" t="str">
        <f>IF(FN_MC!AB74="","*",FN_MC!AB74)</f>
        <v>FIXO</v>
      </c>
      <c r="I72" s="121" t="str">
        <f>IF(FN_MC!AC74="","*",FN_MC!AC74)</f>
        <v>-</v>
      </c>
      <c r="J72" s="122">
        <f>IF(FN_MC!AA74="","*",FN_MC!AA74)</f>
        <v>1</v>
      </c>
      <c r="K72" s="134">
        <f>IF(FN_MC!AD74="","*",FN_MC!AD74)</f>
        <v>0.29166666666666669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2025-11-04T17:38:05Z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