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96" documentId="8_{B6337239-1A00-434D-AAD0-422EA1FEB5AE}" xr6:coauthVersionLast="47" xr6:coauthVersionMax="47" xr10:uidLastSave="{EC7CBFA7-75BE-4043-B52F-9705C6D67F2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7" i="1" l="1" a="1"/>
  <c r="N307" i="1" s="1"/>
  <c r="M307" i="1" a="1"/>
  <c r="M307" i="1" s="1"/>
  <c r="M305" i="1" a="1"/>
  <c r="M305" i="1" s="1"/>
  <c r="N303" i="1" a="1"/>
  <c r="N303" i="1" s="1"/>
  <c r="M303" i="1" a="1"/>
  <c r="M303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L401" i="12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F303" i="13"/>
  <c r="L403" i="12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4" i="13"/>
  <c r="L404" i="12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F305" i="13"/>
  <c r="L405" i="12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7" i="1" l="1"/>
  <c r="AJ306" i="1"/>
  <c r="AJ305" i="1"/>
  <c r="AJ304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<sst xmlns="http://schemas.openxmlformats.org/spreadsheetml/2006/main" count="6572" uniqueCount="1716">
  <si>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</si>
  <si>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</si>
  <si>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</si>
  <si>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</si>
  <si>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</si>
  <si>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</si>
  <si>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</si>
  <si>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</si>
  <si>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</si>
  <si>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</si>
  <si>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</si>
  <si>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</si>
  <si>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</si>
  <si>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</si>
  <si>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</si>
  <si>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</si>
  <si>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</si>
  <si>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</si>
  <si>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</si>
  <si>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</si>
  <si>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</si>
  <si>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</si>
  <si>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</si>
  <si>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</si>
  <si>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</si>
  <si>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</si>
  <si>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</si>
  <si>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</si>
  <si>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</si>
  <si>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</si>
  <si>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</si>
  <si>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</si>
  <si>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</si>
  <si>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</si>
  <si>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</si>
  <si>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</si>
  <si>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</si>
  <si>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</si>
  <si>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</si>
  <si>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</si>
  <si>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</si>
  <si>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</si>
  <si>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</si>
  <si>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</si>
  <si>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</si>
  <si>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</si>
  <si>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</si>
  <si>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</si>
  <si>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</si>
  <si>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</si>
  <si>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</si>
  <si>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</si>
  <si>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</si>
  <si>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</si>
  <si>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</si>
  <si>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</si>
  <si>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</si>
  <si>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</si>
  <si>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</si>
  <si>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</si>
  <si>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</si>
  <si>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</si>
  <si>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</si>
  <si>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</si>
  <si>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</si>
  <si>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</si>
  <si>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</si>
  <si>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</si>
  <si>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</si>
  <si>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</si>
  <si>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</si>
  <si>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</si>
  <si>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</si>
  <si>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</si>
  <si>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</si>
  <si>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</si>
  <si>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</si>
  <si>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</si>
  <si>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</si>
  <si>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</si>
  <si>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</si>
  <si>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</si>
  <si>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</si>
  <si>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</si>
  <si>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</si>
  <si>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</si>
  <si>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</si>
  <si>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</si>
  <si>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</si>
  <si>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</si>
  <si>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</si>
  <si>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</si>
  <si>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</si>
  <si>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</si>
  <si>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</si>
  <si>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</si>
  <si>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</si>
  <si>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</si>
  <si>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</si>
  <si>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</si>
  <si>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</si>
  <si>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</si>
  <si>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</si>
  <si>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</si>
  <si>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</si>
  <si>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</si>
  <si>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</si>
  <si>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</si>
  <si>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</si>
  <si>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</si>
  <si>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</si>
  <si>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</si>
  <si>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</si>
  <si>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</si>
  <si>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</si>
  <si>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</si>
  <si>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</si>
  <si>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</si>
  <si>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</si>
  <si>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</si>
  <si>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</si>
  <si>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</si>
  <si>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</si>
  <si>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</si>
  <si>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</si>
  <si>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</si>
  <si>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</si>
  <si>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</si>
  <si>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</si>
  <si>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</si>
  <si>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</si>
  <si>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</si>
  <si>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</si>
  <si>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</si>
  <si>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</si>
  <si>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</si>
  <si>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</si>
  <si>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</si>
  <si>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</si>
  <si>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</si>
  <si>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</si>
  <si>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</si>
  <si>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</si>
  <si>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</si>
  <si>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</si>
  <si>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</si>
  <si>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</si>
  <si>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</si>
  <si>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</si>
  <si>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</si>
  <si>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</si>
  <si>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</si>
  <si>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</si>
  <si>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</si>
  <si>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</si>
  <si>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</si>
  <si>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</si>
  <si>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</si>
  <si>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</si>
  <si>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</si>
  <si>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</si>
  <si>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</si>
  <si>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</si>
  <si>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</si>
  <si>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</si>
  <si>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</si>
  <si>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</si>
  <si>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</si>
  <si>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</si>
  <si>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</si>
  <si>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</si>
  <si>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</si>
  <si>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</si>
  <si>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</si>
  <si>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</si>
  <si>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</si>
  <si>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</si>
  <si>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</si>
  <si>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</si>
  <si>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</si>
  <si>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</si>
  <si>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</si>
  <si>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</si>
  <si>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</si>
  <si>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</si>
  <si>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</si>
  <si>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</si>
  <si>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</si>
  <si>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</si>
  <si>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</si>
  <si>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</si>
  <si>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</si>
  <si>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</si>
  <si>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</si>
  <si>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</si>
  <si>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</si>
  <si>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</si>
  <si>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</si>
  <si>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</si>
  <si>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</si>
  <si>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</si>
  <si>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</si>
  <si>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</si>
  <si>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</si>
  <si>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</si>
  <si>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</si>
  <si>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</si>
  <si>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</si>
  <si>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</si>
  <si>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</si>
  <si>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</si>
  <si>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</si>
  <si>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</si>
  <si>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</si>
  <si>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</si>
  <si>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</si>
  <si>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</si>
  <si>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</si>
  <si>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</si>
  <si>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</si>
  <si>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</si>
  <si>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</si>
  <si>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</si>
  <si>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</si>
  <si>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</si>
  <si>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</si>
  <si>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</si>
  <si>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</si>
  <si>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</si>
  <si>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</si>
  <si>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</si>
  <si>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</si>
  <si>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</si>
  <si>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</si>
  <si>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</si>
  <si>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</si>
  <si>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</si>
  <si>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</si>
  <si>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</si>
  <si>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</si>
  <si>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</si>
  <si>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</si>
  <si>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</si>
  <si>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</si>
  <si>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</si>
  <si>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</si>
  <si>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</si>
  <si>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</si>
  <si>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</si>
  <si>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</si>
  <si>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</si>
  <si>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</si>
  <si>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</si>
  <si>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</si>
  <si>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</si>
  <si>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</si>
  <si>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</si>
  <si>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</si>
  <si>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</si>
  <si>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</si>
  <si>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</si>
  <si>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</si>
  <si>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</si>
  <si>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</si>
  <si>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</si>
  <si>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</si>
  <si>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</si>
  <si>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</si>
  <si>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</si>
  <si>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</si>
  <si>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</si>
  <si>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</si>
  <si>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</si>
  <si>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</si>
  <si>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</si>
  <si>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</si>
  <si>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</si>
  <si>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</si>
  <si>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</si>
  <si>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</si>
  <si>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</si>
  <si>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</si>
  <si>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</si>
  <si>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</si>
  <si>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</si>
  <si>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</si>
  <si>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</si>
  <si>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</si>
  <si>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</si>
  <si>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</si>
  <si>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</si>
  <si>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</si>
  <si>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</si>
  <si>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</si>
  <si>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</si>
  <si>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</si>
  <si>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</si>
  <si>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</si>
  <si>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</si>
  <si>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</si>
  <si>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</si>
  <si>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</si>
  <si>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</si>
  <si>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</si>
  <si>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</si>
  <si>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</si>
  <si>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</si>
  <si>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</si>
  <si>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</si>
  <si>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</si>
  <si>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</si>
  <si>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</si>
  <si>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</si>
  <si>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</si>
  <si>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</si>
  <si>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</si>
  <si>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</si>
  <si>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</si>
  <si>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</si>
  <si>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</si>
  <si>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</si>
  <si>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</si>
  <si>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</si>
  <si>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</si>
  <si>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</si>
  <si>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</si>
  <si>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</si>
  <si>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</si>
  <si>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</si>
  <si>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</si>
  <si>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</si>
  <si>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</si>
  <si>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</si>
  <si>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</si>
  <si>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</si>
  <si>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</si>
  <si>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</si>
  <si>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</si>
  <si>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</si>
  <si>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</si>
  <si>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</si>
  <si>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</si>
  <si>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</si>
  <si>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</si>
  <si>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</si>
  <si>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</si>
  <si>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</si>
  <si>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</si>
  <si>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</si>
  <si>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</si>
  <si>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</si>
  <si>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</si>
  <si>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</si>
  <si>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</si>
  <si>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</si>
  <si>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</si>
  <si>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</si>
  <si>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</si>
  <si>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</si>
  <si>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</si>
  <si>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</si>
  <si>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</si>
  <si>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</si>
  <si>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</si>
  <si>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</si>
  <si>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</si>
  <si>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</si>
  <si>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</si>
  <si>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</si>
  <si>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</si>
  <si>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</si>
  <si>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</si>
  <si>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</si>
  <si>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</si>
  <si>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</si>
  <si>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</si>
  <si>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</si>
  <si>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</si>
  <si>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</si>
  <si>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</si>
  <si>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</si>
  <si>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</si>
  <si>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</si>
  <si>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</si>
  <si>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</si>
  <si>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</si>
  <si>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</si>
  <si>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</si>
  <si>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</si>
  <si>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</si>
  <si>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</si>
  <si>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</si>
  <si>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</si>
  <si>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</si>
  <si>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</si>
  <si>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</si>
  <si>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</si>
  <si>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</si>
  <si>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</si>
  <si>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</si>
  <si>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</si>
  <si>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</si>
  <si>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</si>
  <si>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</si>
  <si>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</si>
  <si>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</si>
  <si>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</si>
  <si>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</si>
  <si>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</si>
  <si>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</si>
  <si>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</si>
  <si>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</si>
  <si>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</si>
  <si>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</si>
  <si>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</si>
  <si>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</si>
  <si>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</si>
  <si>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</si>
  <si>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</si>
  <si>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</si>
  <si>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</si>
  <si>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</si>
  <si>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</si>
  <si>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</si>
  <si>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</si>
  <si>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</si>
  <si>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</si>
  <si>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</si>
  <si>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</si>
  <si>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</si>
  <si>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</si>
  <si>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</si>
  <si>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</si>
  <si>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</si>
  <si>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</si>
  <si>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</si>
  <si>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</si>
  <si>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</si>
  <si>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</si>
  <si>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</si>
  <si>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</si>
  <si>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</si>
  <si>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</si>
  <si>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</si>
  <si>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</si>
  <si>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</si>
  <si>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</si>
  <si>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</si>
  <si>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</si>
  <si>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</si>
  <si>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</si>
  <si>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</si>
  <si>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</si>
  <si>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</si>
  <si>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</si>
  <si>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</si>
  <si>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</si>
  <si>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</si>
  <si>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</si>
  <si>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</si>
  <si>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</si>
  <si>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</si>
  <si>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</si>
  <si>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</si>
  <si>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</si>
  <si>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</si>
  <si>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</si>
  <si>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</si>
  <si>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</si>
  <si>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</si>
  <si>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</si>
  <si>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</si>
  <si>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</si>
  <si>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</si>
  <si>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</si>
  <si>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</si>
  <si>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</si>
  <si>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</si>
  <si>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</si>
  <si>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</si>
  <si>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</si>
  <si>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</si>
  <si>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</si>
  <si>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</si>
  <si>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</si>
  <si>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</si>
  <si>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</si>
  <si>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</si>
  <si>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</si>
  <si>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</si>
  <si>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</si>
  <si>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</si>
  <si>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</si>
  <si>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</si>
  <si>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</si>
  <si>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</si>
  <si>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</si>
  <si>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</si>
  <si>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</si>
  <si>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</si>
  <si>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</si>
  <si>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</si>
  <si>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</si>
  <si>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</si>
  <si>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</si>
  <si>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</si>
  <si>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</si>
  <si>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</si>
  <si>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</si>
  <si>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</si>
  <si>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</si>
  <si>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</si>
  <si>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</si>
  <si>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</si>
  <si>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</si>
  <si>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</si>
  <si>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</si>
  <si>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</si>
  <si>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</si>
  <si>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</si>
  <si>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</si>
  <si>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</si>
  <si>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</si>
  <si>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</si>
  <si>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</si>
  <si>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</si>
  <si>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</si>
  <si>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</si>
  <si>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</si>
  <si>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</si>
  <si>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</si>
  <si>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</si>
  <si>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</si>
  <si>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</si>
  <si>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</si>
  <si>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</si>
  <si>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</si>
  <si>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</si>
  <si>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</si>
  <si>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</si>
  <si>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</si>
  <si>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</si>
  <si>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</si>
  <si>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</si>
  <si>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</si>
  <si>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</si>
  <si>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</si>
  <si>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</si>
  <si>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</si>
  <si>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</si>
  <si>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</si>
  <si>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</si>
  <si>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</si>
  <si>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</si>
  <si>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</si>
  <si>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</si>
  <si>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</si>
  <si>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</si>
  <si>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</si>
  <si>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</si>
  <si>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</si>
  <si>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</si>
  <si>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</si>
  <si>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</si>
  <si>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</si>
  <si>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</si>
  <si>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</si>
  <si>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</si>
  <si>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</si>
  <si>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</si>
  <si>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</si>
  <si>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</si>
  <si>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</si>
  <si>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</si>
  <si>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</si>
  <si>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</si>
  <si>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</si>
  <si>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</si>
  <si>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</si>
  <si>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</si>
  <si>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</si>
  <si>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</si>
  <si>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</si>
  <si>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</si>
  <si>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</si>
  <si>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</si>
  <si>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</si>
  <si>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</si>
  <si>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</si>
  <si>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</si>
  <si>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</si>
  <si>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</si>
  <si>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</si>
  <si>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</si>
  <si>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</si>
  <si>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</si>
  <si>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</si>
  <si>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</si>
  <si>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</si>
  <si>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</si>
  <si>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</si>
  <si>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</si>
  <si>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</si>
  <si>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</si>
  <si>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</si>
  <si>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</si>
  <si>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</si>
  <si>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</si>
  <si>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</si>
  <si>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</si>
  <si>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</si>
  <si>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</si>
  <si>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</si>
  <si>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</si>
  <si>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</si>
  <si>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</si>
  <si>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</si>
  <si>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</si>
  <si>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</si>
  <si>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</si>
  <si>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</si>
  <si>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</si>
  <si>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</si>
  <si>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</si>
  <si>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</si>
  <si>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</si>
  <si>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</si>
  <si>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</si>
  <si>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</si>
  <si>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</si>
  <si>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</si>
  <si>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</si>
  <si>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</si>
  <si>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</si>
  <si>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</si>
  <si>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</si>
  <si>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</si>
  <si>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</si>
  <si>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</si>
  <si>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</si>
  <si>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</si>
  <si>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</si>
  <si>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</si>
  <si>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</si>
  <si>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</si>
  <si>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</si>
  <si>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</si>
  <si>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</si>
  <si>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</si>
  <si>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</si>
  <si>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</si>
  <si>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</si>
  <si>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</si>
  <si>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</si>
  <si>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</si>
  <si>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</si>
  <si>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</si>
  <si>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</si>
  <si>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</si>
  <si>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</si>
  <si>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</si>
  <si>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</si>
  <si>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</si>
  <si>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</si>
  <si>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</si>
  <si>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</si>
  <si>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</si>
  <si>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</si>
  <si>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</si>
  <si>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</si>
  <si>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</si>
  <si>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</si>
  <si>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</si>
  <si>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</si>
  <si>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</si>
  <si>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</si>
  <si>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</si>
  <si>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</si>
  <si>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</si>
  <si>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</si>
  <si>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</si>
  <si>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</si>
  <si>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</si>
  <si>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</si>
  <si>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</si>
  <si>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</si>
  <si>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</si>
  <si>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</si>
  <si>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</si>
  <si>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</si>
  <si>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</si>
  <si>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</si>
  <si>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</si>
  <si>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</si>
  <si>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</si>
  <si>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</si>
  <si>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</si>
  <si>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</si>
  <si>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</si>
  <si>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</si>
  <si>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</si>
  <si>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</si>
  <si>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</si>
  <si>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</si>
  <si>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</si>
  <si>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</si>
  <si>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</si>
  <si>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</si>
  <si>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</si>
  <si>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</si>
  <si>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</si>
  <si>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</si>
  <si>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</si>
  <si>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</si>
  <si>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</si>
  <si>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</si>
  <si>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</si>
  <si>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</si>
  <si>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</si>
  <si>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</si>
  <si>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</si>
  <si>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</si>
  <si>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</si>
  <si>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</si>
  <si>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</si>
  <si>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</si>
  <si>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</si>
  <si>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</si>
  <si>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</si>
  <si>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</si>
  <si>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</si>
  <si>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</si>
  <si>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</si>
  <si>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</si>
  <si>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</si>
  <si>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</si>
  <si>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</si>
  <si>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</si>
  <si>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</si>
  <si>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</si>
  <si>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</si>
  <si>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</si>
  <si>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</si>
  <si>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</si>
  <si>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</si>
  <si>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</si>
  <si>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</si>
  <si>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</si>
  <si>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</si>
  <si>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</si>
  <si>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</si>
  <si>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</si>
  <si>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</si>
  <si>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</si>
  <si>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</si>
  <si>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</si>
  <si>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</si>
  <si>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</si>
  <si>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</si>
  <si>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</si>
  <si>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</si>
  <si>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</si>
  <si>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</si>
  <si>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</si>
  <si>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</si>
  <si>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</si>
  <si>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</si>
  <si>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</si>
  <si>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</si>
  <si>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</si>
  <si>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</si>
  <si>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</si>
  <si>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</si>
  <si>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</si>
  <si>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</si>
  <si>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</si>
  <si>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</si>
  <si>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</si>
  <si>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</si>
  <si>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</si>
  <si>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</si>
  <si>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</si>
  <si>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</si>
  <si>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</si>
  <si>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</si>
  <si>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</si>
  <si>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</si>
  <si>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</si>
  <si>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</si>
  <si>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</si>
  <si>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</si>
  <si>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</si>
  <si>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</si>
  <si>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</si>
  <si>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</si>
  <si>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</si>
  <si>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</si>
  <si>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</si>
  <si>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</si>
  <si>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</si>
  <si>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</si>
  <si>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</si>
  <si>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</si>
  <si>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</si>
  <si>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</si>
  <si>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</si>
  <si>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</si>
  <si>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</si>
  <si>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</si>
  <si>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</si>
  <si>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</si>
  <si>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</si>
  <si>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</si>
  <si>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</si>
  <si>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</si>
  <si>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</si>
  <si>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</si>
  <si>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</si>
  <si>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</si>
  <si>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</si>
  <si>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</si>
  <si>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</si>
  <si>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</si>
  <si>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</si>
  <si>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</si>
  <si>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</si>
  <si>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</si>
  <si>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</si>
  <si>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</si>
  <si>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</si>
  <si>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</si>
  <si>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</si>
  <si>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</si>
  <si>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</si>
  <si>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</si>
  <si>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</si>
  <si>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</si>
  <si>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</si>
  <si>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</si>
  <si>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</si>
  <si>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</si>
  <si>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</si>
  <si>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</si>
  <si>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</si>
  <si>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</si>
  <si>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</si>
  <si>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</si>
  <si>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</si>
  <si>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</si>
  <si>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</si>
  <si>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</si>
  <si>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</si>
  <si>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</si>
  <si>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</si>
  <si>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</si>
  <si>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</si>
  <si>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</si>
  <si>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</si>
  <si>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</si>
  <si>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</si>
  <si>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</si>
  <si>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</si>
  <si>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</si>
  <si>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</si>
  <si>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</si>
  <si>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</si>
  <si>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</si>
  <si>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</si>
  <si>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</si>
  <si>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</si>
  <si>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</si>
  <si>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</si>
  <si>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</si>
  <si>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</si>
  <si>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</si>
  <si>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</si>
  <si>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</si>
  <si>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</si>
  <si>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</si>
  <si>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</si>
  <si>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</si>
  <si>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</si>
  <si>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</si>
  <si>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</si>
  <si>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</si>
  <si>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</si>
  <si>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</si>
  <si>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</si>
  <si>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</si>
  <si>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</si>
  <si>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</si>
  <si>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</si>
  <si>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</si>
  <si>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</si>
  <si>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</si>
  <si>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</si>
  <si>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</si>
  <si>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</si>
  <si>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</si>
  <si>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</si>
  <si>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</si>
  <si>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</si>
  <si>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</si>
  <si>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</si>
  <si>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</si>
  <si>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</si>
  <si>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</si>
  <si>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</si>
  <si>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</si>
  <si>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</si>
  <si>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</si>
  <si>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</si>
  <si>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</si>
  <si>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</si>
  <si>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</si>
  <si>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</si>
  <si>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</si>
  <si>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</si>
  <si>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</si>
  <si>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</si>
  <si>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</si>
  <si>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</si>
  <si>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</si>
  <si>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</si>
  <si>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</si>
  <si>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</si>
  <si>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</si>
  <si>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</si>
  <si>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</si>
  <si>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</si>
  <si>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</si>
  <si>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</si>
  <si>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</si>
  <si>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</si>
  <si>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</si>
  <si>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</si>
  <si>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</si>
  <si>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</si>
  <si>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</si>
  <si>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</si>
  <si>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</si>
  <si>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</si>
  <si>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</si>
  <si>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</si>
  <si>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</si>
  <si>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</si>
  <si>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</si>
  <si>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</si>
  <si>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</si>
  <si>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</si>
  <si>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</si>
  <si>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</si>
  <si>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</si>
  <si>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</si>
  <si>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</si>
  <si>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</si>
  <si>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</si>
  <si>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</si>
  <si>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</si>
  <si>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</si>
  <si>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</si>
  <si>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</si>
  <si>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</si>
  <si>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</si>
  <si>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</si>
  <si>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</si>
  <si>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</si>
  <si>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</si>
  <si>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</si>
  <si>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</si>
  <si>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</si>
  <si>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</si>
  <si>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</si>
  <si>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</si>
  <si>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</si>
  <si>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</si>
  <si>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</si>
  <si>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</si>
  <si>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</si>
  <si>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</si>
  <si>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</si>
  <si>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</si>
  <si>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</si>
  <si>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</si>
  <si>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</si>
  <si>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</si>
  <si>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</si>
  <si>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</si>
  <si>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</si>
  <si>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</si>
  <si>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</si>
  <si>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</si>
  <si>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</si>
  <si>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</si>
  <si>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</si>
  <si>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</si>
  <si>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</si>
  <si>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</si>
  <si>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</si>
  <si>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</si>
  <si>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</si>
  <si>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</si>
  <si>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</si>
  <si>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</si>
  <si>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</si>
  <si>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</si>
  <si>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</si>
  <si>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</si>
  <si>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</si>
  <si>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</si>
  <si>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</si>
  <si>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</si>
  <si>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</si>
  <si>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</si>
  <si>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</si>
  <si>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</si>
  <si>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</si>
  <si>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</si>
  <si>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</si>
  <si>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</si>
  <si>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</si>
  <si>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</si>
  <si>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</si>
  <si>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</si>
  <si>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</si>
  <si>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</si>
  <si>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</si>
  <si>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</si>
  <si>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</si>
  <si>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</si>
  <si>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</si>
  <si>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</si>
  <si>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</si>
  <si>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</si>
  <si>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</si>
  <si>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</si>
  <si>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</si>
  <si>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</si>
  <si>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</si>
  <si>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</si>
  <si>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</si>
  <si>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</si>
  <si>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</si>
  <si>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</si>
  <si>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</si>
  <si>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</si>
  <si>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</si>
  <si>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</si>
  <si>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</si>
  <si>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</si>
  <si>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</si>
  <si>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</si>
  <si>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</si>
  <si>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</si>
  <si>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</si>
  <si>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</si>
  <si>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</si>
  <si>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</si>
  <si>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</si>
  <si>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</si>
  <si>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</si>
  <si>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</si>
  <si>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</si>
  <si>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</si>
  <si>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</si>
  <si>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</si>
  <si>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</si>
  <si>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</si>
  <si>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</si>
  <si>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</si>
  <si>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</si>
  <si>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</si>
  <si>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</si>
  <si>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</si>
  <si>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</si>
  <si>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</si>
  <si>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</si>
  <si>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</si>
  <si>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</si>
  <si>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</si>
  <si>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</si>
  <si>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</si>
  <si>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</si>
  <si>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</si>
  <si>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</si>
  <si>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</si>
  <si>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</si>
  <si>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</si>
  <si>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</si>
  <si>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</si>
  <si>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</si>
  <si>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</si>
  <si>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</si>
  <si>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</si>
  <si>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</si>
  <si>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</si>
  <si>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</si>
  <si>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</si>
  <si>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</si>
  <si>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</si>
  <si>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</si>
  <si>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</si>
  <si>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</si>
  <si>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</si>
  <si>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</si>
  <si>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</si>
  <si>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</si>
  <si>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</si>
  <si>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</si>
  <si>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</si>
  <si>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</si>
  <si>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</si>
  <si>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</si>
  <si>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</si>
  <si>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</si>
  <si>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</si>
  <si>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</si>
  <si>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</si>
  <si>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</si>
  <si>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</si>
  <si>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</si>
  <si>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</si>
  <si>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</si>
  <si>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</si>
  <si>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</si>
  <si>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</si>
  <si>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</si>
  <si>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</si>
  <si>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</si>
  <si>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</si>
  <si>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</si>
  <si>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</si>
  <si>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</si>
  <si>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</si>
  <si>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</si>
  <si>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</si>
  <si>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</si>
  <si>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</si>
  <si>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</si>
  <si>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</si>
  <si>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</si>
  <si>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</si>
  <si>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</si>
  <si>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</si>
  <si>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</si>
  <si>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</si>
  <si>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</si>
  <si>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</si>
  <si>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</si>
  <si>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</si>
  <si>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</si>
  <si>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</si>
  <si>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</si>
  <si>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</si>
  <si>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</si>
  <si>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</si>
  <si>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</si>
  <si>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</si>
  <si>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</si>
  <si>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</si>
  <si>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</si>
  <si>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</si>
  <si>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</si>
  <si>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</si>
  <si>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</si>
  <si>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</si>
  <si>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</si>
  <si>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</si>
  <si>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</si>
  <si>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</si>
  <si>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</si>
  <si>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</si>
  <si>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</si>
  <si>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</si>
  <si>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</si>
  <si>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</si>
  <si>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</si>
  <si>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</si>
  <si>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</si>
  <si>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</si>
  <si>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</si>
  <si>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</si>
  <si>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</si>
  <si>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</si>
  <si>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</si>
  <si>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</si>
  <si>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</si>
  <si>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</si>
  <si>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</si>
  <si>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</si>
  <si>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</si>
  <si>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</si>
  <si>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</si>
  <si>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</si>
  <si>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</si>
  <si>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</si>
  <si>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</si>
  <si>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</si>
  <si>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</si>
  <si>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</si>
  <si>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</si>
  <si>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</si>
  <si>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</si>
  <si>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</si>
  <si>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</si>
  <si>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</si>
  <si>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</si>
  <si>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</si>
  <si>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</si>
  <si>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</si>
  <si>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</si>
  <si>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</si>
  <si>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</si>
  <si>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</si>
  <si>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</si>
  <si>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</si>
  <si>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</si>
  <si>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</si>
  <si>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</si>
  <si>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</si>
  <si>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</si>
  <si>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</si>
  <si>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</si>
  <si>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</si>
  <si>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</si>
  <si>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</si>
  <si>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</si>
  <si>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</si>
  <si>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</si>
  <si>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</si>
  <si>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</si>
  <si>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</si>
  <si>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</si>
  <si>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</si>
  <si>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</si>
  <si>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</si>
  <si>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</si>
  <si>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</si>
  <si>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</si>
  <si>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</si>
  <si>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</si>
  <si>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</si>
  <si>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</si>
  <si>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</si>
  <si>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</si>
  <si>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</si>
  <si>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</si>
  <si>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</si>
  <si>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</si>
  <si>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</si>
  <si>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</si>
  <si>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</si>
  <si>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</si>
  <si>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</si>
  <si>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</si>
  <si>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</si>
  <si>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</si>
  <si>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</si>
  <si>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</si>
  <si>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</si>
  <si>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</si>
  <si>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</si>
  <si>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</si>
  <si>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</si>
  <si>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</si>
  <si>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</si>
  <si>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</si>
  <si>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</si>
  <si>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</si>
  <si>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</si>
  <si>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</si>
  <si>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</si>
  <si>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</si>
  <si>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</si>
  <si>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</si>
  <si>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</si>
  <si>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</si>
  <si>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</si>
  <si>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</si>
  <si>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</si>
  <si>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</si>
  <si>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</si>
  <si>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</si>
  <si>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</si>
  <si>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</si>
  <si>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</si>
  <si>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</si>
  <si>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</si>
  <si>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</si>
  <si>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</si>
  <si>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</si>
  <si>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</si>
  <si>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</si>
  <si>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</si>
  <si>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</si>
  <si>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</si>
  <si>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</si>
  <si>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</si>
  <si>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</si>
  <si>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</si>
  <si>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</si>
  <si>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</si>
  <si>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</si>
  <si>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</si>
  <si>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</si>
  <si>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</si>
  <si>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</si>
  <si>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</si>
  <si>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</si>
  <si>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</si>
  <si>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</si>
  <si>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</si>
  <si>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</si>
  <si>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</si>
  <si>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</si>
  <si>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</si>
  <si>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</si>
  <si>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</si>
  <si>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</si>
  <si>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</si>
  <si>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</si>
  <si>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</si>
  <si>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</si>
  <si>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</si>
  <si>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</si>
  <si>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</si>
  <si>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</si>
  <si>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</si>
  <si>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</si>
  <si>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</si>
  <si>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</si>
  <si>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</si>
  <si>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</si>
  <si>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</si>
  <si>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</si>
  <si>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</si>
  <si>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</si>
  <si>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</si>
  <si>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</si>
  <si>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</si>
  <si>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</si>
  <si>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</si>
  <si>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</si>
  <si>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</si>
  <si>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</si>
  <si>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</si>
  <si>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</si>
  <si>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</si>
  <si>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</si>
  <si>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</si>
  <si>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</si>
  <si>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</si>
  <si>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</si>
  <si>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</si>
  <si>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</si>
  <si>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</si>
  <si>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</si>
  <si>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</si>
  <si>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</si>
  <si>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</si>
  <si>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</si>
  <si>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</si>
  <si>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</si>
  <si>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</si>
  <si>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</si>
  <si>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</si>
  <si>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</si>
  <si>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</si>
  <si>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</si>
  <si>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</si>
  <si>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</si>
  <si>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</si>
  <si>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</si>
  <si>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</si>
  <si>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</si>
  <si>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</si>
  <si>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</si>
  <si>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</si>
  <si>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</si>
  <si>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</si>
  <si>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</si>
  <si>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</si>
  <si>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</si>
  <si>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</si>
  <si>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</si>
  <si>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</si>
  <si>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</si>
  <si>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</si>
  <si>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</si>
  <si>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</si>
  <si>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</si>
  <si>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</si>
  <si>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</si>
  <si>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</si>
  <si>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</si>
  <si>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</si>
  <si>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</si>
  <si>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</si>
  <si>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</si>
  <si>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</si>
  <si>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</si>
  <si>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</si>
  <si>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</si>
  <si>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</si>
  <si>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</si>
  <si>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</si>
  <si>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</si>
  <si>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</si>
  <si>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</si>
  <si>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</si>
  <si>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</si>
  <si>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</si>
  <si>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</si>
  <si>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</si>
  <si>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</si>
  <si>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</si>
  <si>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</si>
  <si>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</si>
  <si>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</si>
  <si>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</si>
  <si>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</si>
  <si>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</si>
  <si>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</si>
  <si>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</si>
  <si>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</si>
  <si>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</si>
  <si>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</si>
  <si>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</si>
  <si>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</si>
  <si>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</si>
  <si>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</si>
  <si>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</si>
  <si>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</si>
  <si>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</si>
  <si>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</si>
  <si>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</si>
  <si>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</si>
  <si>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</si>
  <si>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</si>
  <si>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</si>
  <si>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</si>
  <si>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</si>
  <si>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</si>
  <si>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</si>
  <si>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</si>
  <si>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</si>
  <si>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</si>
  <si>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</si>
  <si>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</si>
  <si>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</si>
  <si>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</si>
  <si>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</si>
  <si>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</si>
  <si>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</si>
  <si>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</si>
  <si>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</si>
  <si>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</si>
  <si>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</si>
  <si>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</si>
  <si>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</si>
  <si>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</si>
  <si>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</si>
  <si>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</si>
  <si>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</si>
  <si>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</si>
  <si>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</si>
  <si>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</si>
  <si>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</si>
  <si>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</si>
  <si>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</si>
  <si>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</si>
  <si>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</si>
  <si>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</si>
  <si>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</si>
  <si>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</si>
  <si>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</si>
  <si>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</si>
  <si>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</si>
  <si>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</si>
  <si>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</si>
  <si>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</si>
  <si>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</si>
  <si>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</si>
  <si>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</si>
  <si>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</si>
  <si>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</si>
  <si>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</si>
  <si>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</si>
  <si>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</si>
  <si>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</si>
  <si>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</si>
  <si>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</si>
  <si>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</si>
  <si>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</si>
  <si>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</si>
  <si>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</si>
  <si>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</si>
  <si>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</si>
  <si>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</si>
  <si>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</si>
  <si>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</si>
  <si>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</si>
  <si>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</si>
  <si>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</si>
  <si>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</si>
  <si>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</si>
  <si>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</si>
  <si>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</si>
  <si>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</si>
  <si>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</si>
  <si>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</si>
  <si>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</si>
  <si>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</si>
  <si>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</si>
  <si>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</si>
  <si>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</si>
  <si>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</si>
  <si>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</si>
  <si>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</si>
  <si>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</si>
  <si>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</si>
  <si>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</si>
  <si>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</si>
  <si>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</si>
  <si>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</si>
  <si>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</si>
  <si>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</si>
  <si>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</si>
  <si>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</si>
  <si>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</si>
  <si>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</si>
  <si>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</si>
  <si>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</si>
  <si>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</si>
  <si>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</si>
  <si>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</si>
  <si>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</si>
  <si>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</si>
  <si>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</si>
  <si>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</si>
  <si>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</si>
  <si>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</si>
  <si>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</si>
  <si>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</si>
  <si>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</si>
  <si>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</si>
  <si>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</si>
  <si>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</si>
  <si>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</si>
  <si>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</si>
  <si>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</si>
  <si>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</si>
  <si>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</si>
  <si>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</si>
  <si>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</si>
  <si>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</si>
  <si>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</si>
  <si>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</si>
  <si>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</si>
  <si>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</si>
  <si>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</si>
  <si>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</si>
  <si>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</si>
  <si>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</si>
  <si>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</si>
  <si>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</si>
  <si>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</si>
  <si>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</si>
  <si>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</si>
  <si>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</si>
  <si>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</si>
  <si>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</si>
  <si>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</si>
  <si>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</si>
  <si>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</si>
  <si>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</si>
  <si>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</si>
  <si>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</si>
  <si>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</si>
  <si>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</si>
  <si>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</si>
  <si>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</si>
  <si>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</si>
  <si>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</si>
  <si>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</si>
  <si>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</si>
  <si>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</si>
  <si>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</si>
  <si>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</si>
  <si>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</si>
  <si>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</si>
  <si>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</si>
  <si>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</si>
  <si>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</si>
  <si>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</si>
  <si>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</si>
  <si>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</si>
  <si>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</si>
  <si>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</si>
  <si>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</si>
  <si>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</si>
  <si>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</si>
  <si>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</si>
  <si>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</si>
  <si>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</si>
  <si>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</si>
  <si>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</si>
  <si>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</si>
  <si>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</si>
  <si>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</si>
  <si>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</si>
  <si>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</si>
  <si>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</si>
  <si>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</si>
  <si>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</si>
  <si>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</si>
  <si>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</si>
  <si>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</si>
  <si>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</si>
  <si>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</si>
  <si>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</si>
  <si>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</si>
  <si>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</si>
  <si>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</si>
  <si>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</si>
  <si>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</si>
  <si>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</si>
  <si>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</si>
  <si>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</si>
  <si>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</si>
  <si>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</si>
  <si>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</si>
  <si>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</si>
  <si>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</si>
  <si>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</si>
  <si>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</si>
  <si>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</si>
  <si>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</si>
  <si>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</si>
  <si>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</si>
  <si>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</si>
  <si>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</si>
  <si>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</si>
  <si>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</si>
  <si>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</si>
  <si>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</si>
  <si>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</si>
  <si>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</si>
  <si>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</si>
  <si>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</si>
  <si>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</si>
  <si>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</si>
  <si>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</si>
  <si>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</si>
  <si>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</si>
  <si>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</si>
  <si>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</si>
  <si>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</si>
  <si>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</si>
  <si>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</si>
  <si>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</si>
  <si>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</si>
  <si>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</si>
  <si>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</si>
  <si>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Marcos Euzébio</t>
  </si>
  <si>
    <t>Execução de solda - Condicionado à temperatura</t>
  </si>
  <si>
    <t>Inspeção R7D</t>
  </si>
  <si>
    <t>Descarga de dormentes</t>
  </si>
  <si>
    <t>Maicon + Eder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</si>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</sst>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C285" activePane="bottomRight" state="frozen"/>
      <selection pane="bottomRight" activeCell="BJ292" sqref="BJ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0.52708333333333335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0.11944444444444446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1654</v>
      </c>
      <c r="BK292" s="16" t="s">
        <v>1654</v>
      </c>
      <c r="BL292" s="15"/>
      <c r="BM292" s="14"/>
      <c r="BN292" s="14"/>
      <c r="BO292" s="160"/>
      <c r="BP292" s="16"/>
      <c r="BQ292" s="12" t="str">
        <f t="shared" si="50"/>
        <v>Aderente</v>
      </c>
      <c r="BR292" s="18">
        <f t="shared" si="51"/>
        <v>1.4333333333333336</v>
      </c>
      <c r="BS292" s="18">
        <f t="shared" si="52"/>
        <v>1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1655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1656</v>
      </c>
      <c r="BK295" s="16" t="s">
        <v>1656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1658</v>
      </c>
      <c r="BK296" s="16" t="s">
        <v>1658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1660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1661</v>
      </c>
      <c r="BK298" s="16" t="s">
        <v>1661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1662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1663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>ELSON (TF-526)46042</v>
      </c>
      <c r="B304" s="166">
        <v>46042</v>
      </c>
      <c r="C304" s="8">
        <f>IF(BS_CONTROLE[[#This Row],[DATA]]="","",WEEKNUM(BS_CONTROLE[[#This Row],[DATA]]))</f>
        <v>4</v>
      </c>
      <c r="D304" s="51" t="s">
        <v>300</v>
      </c>
      <c r="E304" s="314">
        <v>391</v>
      </c>
      <c r="F304" s="167" t="s">
        <v>194</v>
      </c>
      <c r="G304" s="9" t="str">
        <f>IF(D304="","*",VLOOKUP(F304,BS_ATIVIDADE[#All],3,FALSE))</f>
        <v>SOLDA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Nº DE SOLDA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e">
        <f t="shared" si="50"/>
        <v>#DIV/0!</v>
      </c>
      <c r="BR304" s="18" t="e">
        <f t="shared" si="51"/>
        <v>#DIV/0!</v>
      </c>
      <c r="BS304" s="18" t="e">
        <f t="shared" si="52"/>
        <v>#DIV/0!</v>
      </c>
      <c r="BT304" s="220" t="str">
        <f t="shared" si="53"/>
        <v/>
      </c>
    </row>
    <row r="305" spans="1:72" hidden="1">
      <c r="A305" s="50" t="str">
        <f t="shared" si="49"/>
        <v>MARCOS (TF-520)46042</v>
      </c>
      <c r="B305" s="166">
        <v>46042</v>
      </c>
      <c r="C305" s="8">
        <f>IF(BS_CONTROLE[[#This Row],[DATA]]="","",WEEKNUM(BS_CONTROLE[[#This Row],[DATA]]))</f>
        <v>4</v>
      </c>
      <c r="D305" s="51" t="s">
        <v>330</v>
      </c>
      <c r="E305" s="314">
        <v>394</v>
      </c>
      <c r="F305" s="167" t="s">
        <v>194</v>
      </c>
      <c r="G305" s="9" t="str">
        <f>IF(D305="","*",VLOOKUP(F305,BS_ATIVIDADE[#All],3,FALSE))</f>
        <v>SOLDA</v>
      </c>
      <c r="H305" s="168" t="s">
        <v>804</v>
      </c>
      <c r="I305" s="168" t="s">
        <v>11</v>
      </c>
      <c r="J305" s="212">
        <v>74</v>
      </c>
      <c r="K305" s="212">
        <v>289.7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5" s="199" t="s">
        <v>804</v>
      </c>
      <c r="O305" s="168">
        <v>0.375</v>
      </c>
      <c r="P305" s="168">
        <v>8.3333333333333329E-2</v>
      </c>
      <c r="Q305" s="83">
        <v>2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5" s="80" t="str">
        <f>IFERROR(_xlfn.XLOOKUP(J305, BASE_MAPA!$E$2:$E$359, BASE_MAPA!$J$2:$J$359), "ERRO")</f>
        <v>MARCO INICIAL - ALTO ARAGUAIA</v>
      </c>
      <c r="V305" s="193" t="s">
        <v>1664</v>
      </c>
      <c r="W305" s="168" t="s">
        <v>1665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TCS2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TCS</v>
      </c>
      <c r="AN305" s="279" t="str">
        <f>IF(BS_CONTROLE[[#This Row],[SB]]=0, "-", BS_CONTROLE[[#This Row],[SB]])</f>
        <v>TCS2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289.7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Marcos Euzébio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A6046042</v>
      </c>
      <c r="B306" s="166">
        <v>46042</v>
      </c>
      <c r="C306" s="8">
        <f>IF(BS_CONTROLE[[#This Row],[DATA]]="","",WEEKNUM(BS_CONTROLE[[#This Row],[DATA]]))</f>
        <v>4</v>
      </c>
      <c r="D306" s="51" t="s">
        <v>107</v>
      </c>
      <c r="E306" s="314">
        <v>408</v>
      </c>
      <c r="F306" s="167" t="s">
        <v>33</v>
      </c>
      <c r="G306" s="9" t="str">
        <f>IF(D306="","*",VLOOKUP(F306,BS_ATIVIDADE[#All],3,FALSE))</f>
        <v>DETECÇÃO</v>
      </c>
      <c r="H306" s="168" t="s">
        <v>804</v>
      </c>
      <c r="I306" s="168" t="s">
        <v>1135</v>
      </c>
      <c r="J306" s="212">
        <v>74</v>
      </c>
      <c r="K306" s="212">
        <v>290</v>
      </c>
      <c r="L306" s="83" t="s">
        <v>11</v>
      </c>
      <c r="M306" s="199" t="s">
        <v>732</v>
      </c>
      <c r="N306" s="199" t="s">
        <v>1542</v>
      </c>
      <c r="O306" s="168">
        <v>0.375</v>
      </c>
      <c r="P306" s="168">
        <v>4.1666666666666664E-2</v>
      </c>
      <c r="Q306" s="83">
        <v>210</v>
      </c>
      <c r="R306" s="10" t="str">
        <f>IFERROR(_xlfn.XLOOKUP(F306, BS_ATIVIDADE[ATIVIDADE],BS_ATIVIDADE[UNIDADE] ), "*")</f>
        <v>KM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1284</v>
      </c>
      <c r="W306" s="168" t="s">
        <v>1666</v>
      </c>
      <c r="X306" s="213" t="s">
        <v>374</v>
      </c>
      <c r="Y306" s="153"/>
      <c r="Z306" s="153"/>
      <c r="AA306" s="83">
        <v>1</v>
      </c>
      <c r="AB306" s="70" t="s">
        <v>366</v>
      </c>
      <c r="AC306" s="70" t="s">
        <v>361</v>
      </c>
      <c r="AD306" s="168">
        <v>0.33333333333333331</v>
      </c>
      <c r="AE306" s="83">
        <v>5487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DETECÇÃO - RONDA 7 DIAS</v>
      </c>
      <c r="AJ306" s="9" t="str">
        <f>IF(D306="","*",VLOOKUP(AI306,BS_ATIVIDADE[#Data],3,FALSE))</f>
        <v>DETECÇÃO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TGR2</v>
      </c>
      <c r="AM306" s="279" t="str">
        <f>IF(BS_CONTROLE[[#This Row],[Entre - Estações]]=0, "-", BS_CONTROLE[[#This Row],[Entre - Estações]])</f>
        <v>TCS-TGR</v>
      </c>
      <c r="AN306" s="279" t="str">
        <f>IF(BS_CONTROLE[[#This Row],[SB]]=0, "-", BS_CONTROLE[[#This Row],[SB]])</f>
        <v>TCSTGR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290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KM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Herbert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W5046042</v>
      </c>
      <c r="B307" s="166">
        <v>46042</v>
      </c>
      <c r="C307" s="8">
        <f>IF(BS_CONTROLE[[#This Row],[DATA]]="","",WEEKNUM(BS_CONTROLE[[#This Row],[DATA]]))</f>
        <v>4</v>
      </c>
      <c r="D307" s="51" t="s">
        <v>240</v>
      </c>
      <c r="E307" s="314">
        <v>408</v>
      </c>
      <c r="F307" s="167" t="s">
        <v>134</v>
      </c>
      <c r="G307" s="9" t="str">
        <f>IF(D307="","*",VLOOKUP(F307,BS_ATIVIDADE[#All],3,FALSE))</f>
        <v>MODERNIZAÇÃO</v>
      </c>
      <c r="H307" s="168" t="s">
        <v>804</v>
      </c>
      <c r="I307" s="168" t="s">
        <v>804</v>
      </c>
      <c r="J307" s="212">
        <v>74</v>
      </c>
      <c r="K307" s="212">
        <v>197</v>
      </c>
      <c r="L307" s="83">
        <v>194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7" s="168">
        <v>0.35416666666666669</v>
      </c>
      <c r="P307" s="168">
        <v>0.125</v>
      </c>
      <c r="Q307" s="83">
        <v>1000</v>
      </c>
      <c r="R307" s="10" t="str">
        <f>IFERROR(_xlfn.XLOOKUP(F307, BS_ATIVIDADE[ATIVIDADE],BS_ATIVIDADE[UNIDADE] ), "*")</f>
        <v>Nº DE DORMENTES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1321</v>
      </c>
      <c r="W307" s="168" t="s">
        <v>1667</v>
      </c>
      <c r="X307" s="213" t="s">
        <v>374</v>
      </c>
      <c r="Y307" s="153"/>
      <c r="Z307" s="153"/>
      <c r="AA307" s="83" t="s">
        <v>1668</v>
      </c>
      <c r="AB307" s="70" t="s">
        <v>366</v>
      </c>
      <c r="AC307" s="70" t="s">
        <v>361</v>
      </c>
      <c r="AD307" s="168">
        <v>0.3125</v>
      </c>
      <c r="AE307" s="83">
        <v>7671</v>
      </c>
      <c r="AF307" s="83">
        <v>9322</v>
      </c>
      <c r="AG307" s="83">
        <v>11</v>
      </c>
      <c r="AH307" s="48"/>
      <c r="AI307" s="141" t="str">
        <f>IF(BS_CONTROLE[[#This Row],[Atividade]]=0, "-", BS_CONTROLE[[#This Row],[Atividade]])</f>
        <v>MODERNIZAÇÃO - DORMENTE - DESCARGA</v>
      </c>
      <c r="AJ307" s="9" t="str">
        <f>IF(D307="","*",VLOOKUP(AI307,BS_ATIVIDADE[#Data],3,FALSE))</f>
        <v>MODERNIZAÇÃO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TCS2</v>
      </c>
      <c r="AM307" s="279" t="str">
        <f>IF(BS_CONTROLE[[#This Row],[Entre - Estações]]=0, "-", BS_CONTROLE[[#This Row],[Entre - Estações]])</f>
        <v>TID-TVI</v>
      </c>
      <c r="AN307" s="279" t="str">
        <f>IF(BS_CONTROLE[[#This Row],[SB]]=0, "-", BS_CONTROLE[[#This Row],[SB]])</f>
        <v>TID201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197</v>
      </c>
      <c r="AQ307" s="281">
        <f>IF(BS_CONTROLE[[#This Row],[KM - Fim]]=0, "-", BS_CONTROLE[[#This Row],[KM - Fim]])</f>
        <v>194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DORMENTES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Augusto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46042</v>
      </c>
      <c r="B308" s="166">
        <v>46042</v>
      </c>
      <c r="C308" s="8">
        <f>IF(BS_CONTROLE[[#This Row],[DATA]]="","",WEEKNUM(BS_CONTROLE[[#This Row],[DATA]]))</f>
        <v>4</v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17" operator="equal">
      <formula>"ERRO"</formula>
    </cfRule>
  </conditionalFormatting>
  <conditionalFormatting sqref="X4 Y368:Y443 Y1:Z367">
    <cfRule type="cellIs" dxfId="138" priority="18406" operator="equal">
      <formula>"OPORTUNIDADE"</formula>
    </cfRule>
  </conditionalFormatting>
  <conditionalFormatting sqref="AZ6:AZ415">
    <cfRule type="expression" dxfId="137" priority="18401">
      <formula>$BU6=1</formula>
    </cfRule>
  </conditionalFormatting>
  <conditionalFormatting sqref="BQ6:BQ492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5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8:X415 Y368:Y443 Y6:Z367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8:X415">
    <cfRule type="cellIs" dxfId="126" priority="18341" operator="equal">
      <formula>"OPORTUNIDADE"</formula>
    </cfRule>
  </conditionalFormatting>
  <conditionalFormatting sqref="Z368:Z415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8:Z415">
    <cfRule type="cellIs" dxfId="123" priority="18338" operator="equal">
      <formula>"OPORTUNIDADE"</formula>
    </cfRule>
  </conditionalFormatting>
  <conditionalFormatting sqref="Y1048468:Y1048576">
    <cfRule type="cellIs" dxfId="122" priority="18223" operator="equal">
      <formula>"OPORTUNIDADE"</formula>
    </cfRule>
  </conditionalFormatting>
  <conditionalFormatting sqref="Y1048468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6:Z441">
    <cfRule type="cellIs" dxfId="119" priority="17958" operator="equal">
      <formula>"OPORTUNIDADE"</formula>
    </cfRule>
  </conditionalFormatting>
  <conditionalFormatting sqref="Z416:Z441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2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2">
    <cfRule type="cellIs" dxfId="114" priority="17943" operator="equal">
      <formula>"OPORTUNIDADE"</formula>
    </cfRule>
  </conditionalFormatting>
  <conditionalFormatting sqref="Z442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2">
    <cfRule type="cellIs" dxfId="111" priority="17940" operator="equal">
      <formula>"OPORTUNIDADE"</formula>
    </cfRule>
  </conditionalFormatting>
  <conditionalFormatting sqref="BI442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60">
      <formula>$BU385=1</formula>
    </cfRule>
  </conditionalFormatting>
  <conditionalFormatting sqref="AZ418:AZ442">
    <cfRule type="expression" dxfId="109" priority="18720">
      <formula>$BU390=1</formula>
    </cfRule>
  </conditionalFormatting>
  <conditionalFormatting sqref="BI416:BI441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2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2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1670</v>
      </c>
      <c r="E3" s="316" t="s">
        <v>1671</v>
      </c>
      <c r="F3" s="316" t="s">
        <v>1672</v>
      </c>
      <c r="G3" s="316" t="s">
        <v>1673</v>
      </c>
      <c r="H3" s="316" t="s">
        <v>1674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1675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1676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1677</v>
      </c>
      <c r="W1" s="390"/>
      <c r="X1" s="390"/>
      <c r="Y1" s="103"/>
    </row>
    <row r="2" spans="1:25" s="100" customFormat="1" ht="11.25" customHeight="1">
      <c r="A2" s="104" t="s">
        <v>1678</v>
      </c>
      <c r="B2" s="104" t="s">
        <v>1679</v>
      </c>
      <c r="C2" s="104" t="s">
        <v>7</v>
      </c>
      <c r="D2" s="105" t="s">
        <v>1177</v>
      </c>
      <c r="E2" s="105" t="s">
        <v>1178</v>
      </c>
      <c r="F2" s="105" t="s">
        <v>1680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1681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>
        <f>IF(FN_MC!B304="","*",FN_MC!B304)</f>
        <v>46042</v>
      </c>
      <c r="G402" s="109" t="str">
        <f>IF(FN_MC!D304="","*",FN_MC!D304)</f>
        <v>ELSON (TF-526)</v>
      </c>
      <c r="H402" s="109" t="str">
        <f>IF(FN_MC!F304="","*",FN_MC!F304)</f>
        <v>PDM - SOLDA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>
        <f ca="1">_xlfn.XLOOKUP(G402&amp;$W$2,BS_CONTROLE[CHAVE],BS_CONTROLE[Quantidade_11],"-")</f>
        <v>0</v>
      </c>
      <c r="X402" s="111">
        <f ca="1">_xlfn.XLOOKUP(G402&amp;$X$2,BS_CONTROLE[CHAVE],BS_CONTROLE[Quantidade_11],"-")</f>
        <v>2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TMI-TCS</v>
      </c>
      <c r="F403" s="109">
        <f>IF(FN_MC!B305="","*",FN_MC!B305)</f>
        <v>46042</v>
      </c>
      <c r="G403" s="109" t="str">
        <f>IF(FN_MC!D305="","*",FN_MC!D305)</f>
        <v>MARCOS (TF-520)</v>
      </c>
      <c r="H403" s="109" t="str">
        <f>IF(FN_MC!F305="","*",FN_MC!F305)</f>
        <v>PDM - SOLDA</v>
      </c>
      <c r="I403" s="109" t="str">
        <f>IF(FN_MC!H305="","*",FN_MC!H305)</f>
        <v>TCS2</v>
      </c>
      <c r="J403" s="109" t="str">
        <f>IF(FN_MC!I305="","*",FN_MC!I305)</f>
        <v>-</v>
      </c>
      <c r="K403" s="109" t="str">
        <f>IF(FN_MC!M305="","*",FN_MC!M305)</f>
        <v>TCS</v>
      </c>
      <c r="L403" s="328" t="str">
        <f>IF(FN_MC!N305="","*",FN_MC!N305)</f>
        <v>TCS2</v>
      </c>
      <c r="M403" s="110">
        <f>IF(FN_MC!J305="","*",FN_MC!J305)</f>
        <v>74</v>
      </c>
      <c r="N403" s="291">
        <f>IF(FN_MC!K305="","*",FN_MC!K305)</f>
        <v>289.7</v>
      </c>
      <c r="O403" s="291" t="str">
        <f>IF(FN_MC!L305="","*",FN_MC!L305)</f>
        <v>-</v>
      </c>
      <c r="P403" s="110"/>
      <c r="Q403" s="127">
        <f>IF(FN_MC!O305="","*",FN_MC!O305)</f>
        <v>0.375</v>
      </c>
      <c r="R403" s="127">
        <f>IF(FN_MC!P305="","*",FN_MC!P305)</f>
        <v>8.3333333333333329E-2</v>
      </c>
      <c r="S403" s="109" t="str">
        <f>IF(FN_MC!Q305="","*",CONCATENATE(FN_MC!Q305," ",FN_MC!R305))</f>
        <v>2 Nº DE SOLDA</v>
      </c>
      <c r="T403" s="109" t="str">
        <f>IF(FN_MC!V305="","*",FN_MC!V305)</f>
        <v>Marcos Euzébio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</v>
      </c>
      <c r="X403" s="111">
        <f ca="1">_xlfn.XLOOKUP(G403&amp;$X$2,BS_CONTROLE[CHAVE],BS_CONTROLE[Quantidade_11],"-")</f>
        <v>2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A60</v>
      </c>
      <c r="H404" s="109" t="str">
        <f>IF(FN_MC!F306="","*",FN_MC!F306)</f>
        <v>DETECÇÃO - RONDA 7 DIAS</v>
      </c>
      <c r="I404" s="109" t="str">
        <f>IF(FN_MC!H306="","*",FN_MC!H306)</f>
        <v>TCS2</v>
      </c>
      <c r="J404" s="109" t="str">
        <f>IF(FN_MC!I306="","*",FN_MC!I306)</f>
        <v>TGR2</v>
      </c>
      <c r="K404" s="109" t="str">
        <f>IF(FN_MC!M306="","*",FN_MC!M306)</f>
        <v>TCS-TGR</v>
      </c>
      <c r="L404" s="328" t="str">
        <f>IF(FN_MC!N306="","*",FN_MC!N306)</f>
        <v>TCSTGR</v>
      </c>
      <c r="M404" s="110">
        <f>IF(FN_MC!J306="","*",FN_MC!J306)</f>
        <v>74</v>
      </c>
      <c r="N404" s="291">
        <f>IF(FN_MC!K306="","*",FN_MC!K306)</f>
        <v>290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4.1666666666666664E-2</v>
      </c>
      <c r="S404" s="109" t="str">
        <f>IF(FN_MC!Q306="","*",CONCATENATE(FN_MC!Q306," ",FN_MC!R306))</f>
        <v>210 KM</v>
      </c>
      <c r="T404" s="109" t="str">
        <f>IF(FN_MC!V306="","*",FN_MC!V306)</f>
        <v>Herbert</v>
      </c>
      <c r="U404" s="109" t="str">
        <f>IF(FN_MC!W306="","*",FN_MC!W306)</f>
        <v>Inspeção R7D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W50</v>
      </c>
      <c r="H405" s="109" t="str">
        <f>IF(FN_MC!F307="","*",FN_MC!F307)</f>
        <v>MODERNIZAÇÃO - DORMENTE - DESCARGA</v>
      </c>
      <c r="I405" s="109" t="str">
        <f>IF(FN_MC!H307="","*",FN_MC!H307)</f>
        <v>TCS2</v>
      </c>
      <c r="J405" s="109" t="str">
        <f>IF(FN_MC!I307="","*",FN_MC!I307)</f>
        <v>TCS2</v>
      </c>
      <c r="K405" s="109" t="str">
        <f>IF(FN_MC!M307="","*",FN_MC!M307)</f>
        <v>TID-TVI</v>
      </c>
      <c r="L405" s="328" t="str">
        <f>IF(FN_MC!N307="","*",FN_MC!N307)</f>
        <v>TID201</v>
      </c>
      <c r="M405" s="110">
        <f>IF(FN_MC!J307="","*",FN_MC!J307)</f>
        <v>74</v>
      </c>
      <c r="N405" s="291">
        <f>IF(FN_MC!K307="","*",FN_MC!K307)</f>
        <v>197</v>
      </c>
      <c r="O405" s="291">
        <f>IF(FN_MC!L307="","*",FN_MC!L307)</f>
        <v>194</v>
      </c>
      <c r="P405" s="110"/>
      <c r="Q405" s="127">
        <f>IF(FN_MC!O307="","*",FN_MC!O307)</f>
        <v>0.35416666666666669</v>
      </c>
      <c r="R405" s="127">
        <f>IF(FN_MC!P307="","*",FN_MC!P307)</f>
        <v>0.125</v>
      </c>
      <c r="S405" s="109" t="str">
        <f>IF(FN_MC!Q307="","*",CONCATENATE(FN_MC!Q307," ",FN_MC!R307))</f>
        <v>1000 Nº DE DORMENTES</v>
      </c>
      <c r="T405" s="109" t="str">
        <f>IF(FN_MC!V307="","*",FN_MC!V307)</f>
        <v>Augusto</v>
      </c>
      <c r="U405" s="109" t="str">
        <f>IF(FN_MC!W307="","*",FN_MC!W307)</f>
        <v>Descarga de dormentes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>
        <f ca="1">_xlfn.XLOOKUP(G405&amp;$X$2,BS_CONTROLE[CHAVE],BS_CONTROLE[Quantidade_11],"-")</f>
        <v>1615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>
        <f>IF(FN_MC!B308="","*",FN_MC!B308)</f>
        <v>46042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1682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1683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1684</v>
      </c>
      <c r="C4" s="321" t="s">
        <v>1685</v>
      </c>
      <c r="D4" s="321" t="s">
        <v>1686</v>
      </c>
      <c r="E4" s="321" t="s">
        <v>1687</v>
      </c>
      <c r="F4" s="321" t="s">
        <v>545</v>
      </c>
      <c r="G4" s="321" t="s">
        <v>1688</v>
      </c>
      <c r="H4" s="187"/>
    </row>
    <row r="5" spans="1:8" ht="43.5">
      <c r="A5" s="187"/>
      <c r="B5" s="322" t="s">
        <v>1689</v>
      </c>
      <c r="C5" s="322">
        <v>309525</v>
      </c>
      <c r="D5" s="322" t="s">
        <v>1690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1691</v>
      </c>
      <c r="C6" s="322">
        <v>256875</v>
      </c>
      <c r="D6" s="322" t="s">
        <v>1692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1693</v>
      </c>
      <c r="C7" s="322">
        <v>257278</v>
      </c>
      <c r="D7" s="322" t="s">
        <v>1694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1695</v>
      </c>
      <c r="C8" s="322">
        <v>261794</v>
      </c>
      <c r="D8" s="322" t="s">
        <v>1696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1697</v>
      </c>
      <c r="C9" s="322">
        <v>257033</v>
      </c>
      <c r="D9" s="322" t="s">
        <v>1698</v>
      </c>
      <c r="E9" s="322" t="s">
        <v>240</v>
      </c>
      <c r="F9" s="322" t="s">
        <v>732</v>
      </c>
      <c r="G9" s="322" t="s">
        <v>1699</v>
      </c>
      <c r="H9" s="187"/>
    </row>
    <row r="10" spans="1:8" ht="43.5">
      <c r="A10" s="187"/>
      <c r="B10" s="322" t="s">
        <v>1700</v>
      </c>
      <c r="C10" s="322">
        <v>396578</v>
      </c>
      <c r="D10" s="322" t="s">
        <v>1701</v>
      </c>
      <c r="E10" s="322" t="s">
        <v>240</v>
      </c>
      <c r="F10" s="322" t="s">
        <v>732</v>
      </c>
      <c r="G10" s="322" t="s">
        <v>1699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1702</v>
      </c>
      <c r="C2" s="95" t="s">
        <v>1162</v>
      </c>
      <c r="D2" s="95" t="s">
        <v>1164</v>
      </c>
      <c r="E2" s="95" t="s">
        <v>1703</v>
      </c>
      <c r="F2" s="95" t="s">
        <v>1704</v>
      </c>
      <c r="G2" s="95" t="s">
        <v>1705</v>
      </c>
      <c r="H2" s="95" t="s">
        <v>1706</v>
      </c>
      <c r="I2" s="95" t="s">
        <v>1707</v>
      </c>
      <c r="J2" s="95" t="s">
        <v>1708</v>
      </c>
      <c r="K2" s="130" t="s">
        <v>1709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*</v>
      </c>
      <c r="C302" s="120">
        <f>IF(FN_MC!B304="","*",FN_MC!B304)</f>
        <v>46042</v>
      </c>
      <c r="D302" s="120" t="str">
        <f>IF(FN_MC!D304="","*",FN_MC!D304)</f>
        <v>ELSON (TF-526)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*</v>
      </c>
      <c r="C303" s="120">
        <f>IF(FN_MC!B305="","*",FN_MC!B305)</f>
        <v>46042</v>
      </c>
      <c r="D303" s="120" t="str">
        <f>IF(FN_MC!D305="","*",FN_MC!D305)</f>
        <v>MARCOS (TF-520)</v>
      </c>
      <c r="E303" s="120" t="str">
        <f>IF(FN_MC!H305="","*",FN_MC!H305)</f>
        <v>TCS2</v>
      </c>
      <c r="F303" s="136" t="str">
        <f>IF(FN_MC!M305="","*",FN_MC!M305)</f>
        <v>TCS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*</v>
      </c>
      <c r="C304" s="120">
        <f>IF(FN_MC!B306="","*",FN_MC!B306)</f>
        <v>46042</v>
      </c>
      <c r="D304" s="120" t="str">
        <f>IF(FN_MC!D306="","*",FN_MC!D306)</f>
        <v>A60</v>
      </c>
      <c r="E304" s="120" t="str">
        <f>IF(FN_MC!H306="","*",FN_MC!H306)</f>
        <v>TCS2</v>
      </c>
      <c r="F304" s="136" t="str">
        <f>IF(FN_MC!M306="","*",FN_MC!M306)</f>
        <v>TCS-TGR</v>
      </c>
      <c r="G304" s="120" t="str">
        <f>IF(FN_MC!I306="","*",FN_MC!I306)</f>
        <v>TGR2</v>
      </c>
      <c r="H304" s="120" t="str">
        <f>IF(FN_MC!AB306="","*",FN_MC!AB306)</f>
        <v>FIXO</v>
      </c>
      <c r="I304" s="120" t="str">
        <f>IF(FN_MC!AC306="","*",FN_MC!AC306)</f>
        <v>ACIONAMENTO</v>
      </c>
      <c r="J304" s="121">
        <f>IF(FN_MC!AA306="","*",FN_MC!AA306)</f>
        <v>1</v>
      </c>
      <c r="K304" s="133">
        <f>IF(FN_MC!AD306="","*",FN_MC!AD306)</f>
        <v>0.33333333333333331</v>
      </c>
    </row>
    <row r="305" spans="2:11" s="122" customFormat="1" hidden="1">
      <c r="B305" s="119" t="str">
        <f>IF(FN_MC!Y307="","*",FN_MC!Y307)</f>
        <v>*</v>
      </c>
      <c r="C305" s="120">
        <f>IF(FN_MC!B307="","*",FN_MC!B307)</f>
        <v>46042</v>
      </c>
      <c r="D305" s="120" t="str">
        <f>IF(FN_MC!D307="","*",FN_MC!D307)</f>
        <v>W50</v>
      </c>
      <c r="E305" s="120" t="str">
        <f>IF(FN_MC!H307="","*",FN_MC!H307)</f>
        <v>TCS2</v>
      </c>
      <c r="F305" s="136" t="str">
        <f>IF(FN_MC!M307="","*",FN_MC!M307)</f>
        <v>TID-TVI</v>
      </c>
      <c r="G305" s="120" t="str">
        <f>IF(FN_MC!I307="","*",FN_MC!I307)</f>
        <v>TCS2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 t="str">
        <f>IF(FN_MC!AA307="","*",FN_MC!AA307)</f>
        <v>Maicon + Eder</v>
      </c>
      <c r="K305" s="133">
        <f>IF(FN_MC!AD307="","*",FN_MC!AD307)</f>
        <v>0.3125</v>
      </c>
    </row>
    <row r="306" spans="2:11" s="122" customFormat="1" hidden="1">
      <c r="B306" s="119" t="str">
        <f>IF(FN_MC!Y308="","*",FN_MC!Y308)</f>
        <v>*</v>
      </c>
      <c r="C306" s="120">
        <f>IF(FN_MC!B308="","*",FN_MC!B308)</f>
        <v>46042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1710</v>
      </c>
      <c r="D5" s="394"/>
      <c r="E5" s="394"/>
      <c r="F5" s="394"/>
      <c r="G5" s="394"/>
      <c r="H5" s="394"/>
      <c r="I5" s="394"/>
      <c r="J5" s="395"/>
      <c r="K5" s="396" t="s">
        <v>1711</v>
      </c>
      <c r="L5" s="397"/>
      <c r="M5" s="397"/>
      <c r="N5" s="397"/>
      <c r="O5" s="398" t="s">
        <v>1712</v>
      </c>
      <c r="P5" s="399"/>
      <c r="Q5" s="400"/>
    </row>
    <row r="6" spans="1:17" s="93" customFormat="1" ht="15.75" customHeight="1">
      <c r="A6" s="87" t="s">
        <v>1680</v>
      </c>
      <c r="B6" s="94" t="s">
        <v>1679</v>
      </c>
      <c r="C6" s="95" t="s">
        <v>1177</v>
      </c>
      <c r="D6" s="96" t="s">
        <v>1178</v>
      </c>
      <c r="E6" s="95" t="s">
        <v>1713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1714</v>
      </c>
      <c r="M6" s="138" t="s">
        <v>30</v>
      </c>
      <c r="N6" s="139" t="s">
        <v>1172</v>
      </c>
      <c r="O6" s="241" t="s">
        <v>1215</v>
      </c>
      <c r="P6" s="152"/>
      <c r="Q6" s="188" t="s">
        <v>1715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Em intervalo 09h47 - 11h47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IF(FN_MC!B304="","*",FN_MC!B304)</f>
        <v>46042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ELSON (TF-526)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>
        <f>IF(FN_MC!B305="","*",FN_MC!B305)</f>
        <v>46042</v>
      </c>
      <c r="B393" s="98" t="str">
        <f>IF(FN_MC!X305="","*",FN_MC!X305)</f>
        <v>Oportunidade</v>
      </c>
      <c r="C393" s="99" t="str">
        <f>IF(FN_MC!S305="","*",FN_MC!S305)</f>
        <v>FERRONORTE</v>
      </c>
      <c r="D393" s="99" t="str">
        <f>IF(FN_MC!T305="","*",FN_MC!T305)</f>
        <v>TMI-TCS</v>
      </c>
      <c r="E393" s="99" t="str">
        <f>IF(FN_MC!D305="","*",FN_MC!D305)</f>
        <v>MARCOS (TF-520)</v>
      </c>
      <c r="F393" s="99" t="str">
        <f>IF(FN_MC!H305="","*",FN_MC!H305)</f>
        <v>TCS2</v>
      </c>
      <c r="G393" s="99" t="str">
        <f>IF(FN_MC!M305="","*",FN_MC!M305)</f>
        <v>TCS</v>
      </c>
      <c r="H393" s="149">
        <f>IF(FN_MC!K305="","*",FN_MC!K305)</f>
        <v>289.7</v>
      </c>
      <c r="I393" s="131">
        <f>IF(FN_MC!O305="","*",FN_MC!O305)</f>
        <v>0.375</v>
      </c>
      <c r="J393" s="131">
        <f>IF(FN_MC!P305="","*",FN_MC!P305)</f>
        <v>8.3333333333333329E-2</v>
      </c>
      <c r="K393" s="140" t="str">
        <f>IF(FN_MC!AK305="","*",FN_MC!AK305)</f>
        <v>TCS2</v>
      </c>
      <c r="L393" s="140" t="str">
        <f>IF(FN_MC!AM305="","*",FN_MC!AM305)</f>
        <v>TCS</v>
      </c>
      <c r="M393" s="140">
        <f>IF(FN_MC!AP305="","*",FN_MC!AP305)</f>
        <v>289.7</v>
      </c>
      <c r="N393" s="140" t="str">
        <f>IF(FN_MC!AM305="","*",FN_MC!AM305)</f>
        <v>TCS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>
        <f>IF(FN_MC!B306="","*",FN_MC!B306)</f>
        <v>46042</v>
      </c>
      <c r="B394" s="98" t="str">
        <f>IF(FN_MC!X306="","*",FN_MC!X306)</f>
        <v>Oportunidade</v>
      </c>
      <c r="C394" s="99" t="str">
        <f>IF(FN_MC!S306="","*",FN_MC!S306)</f>
        <v>FERRONORTE</v>
      </c>
      <c r="D394" s="99" t="str">
        <f>IF(FN_MC!T306="","*",FN_MC!T306)</f>
        <v>TMI-TCS</v>
      </c>
      <c r="E394" s="99" t="str">
        <f>IF(FN_MC!D306="","*",FN_MC!D306)</f>
        <v>A60</v>
      </c>
      <c r="F394" s="99" t="str">
        <f>IF(FN_MC!H306="","*",FN_MC!H306)</f>
        <v>TCS2</v>
      </c>
      <c r="G394" s="99" t="str">
        <f>IF(FN_MC!M306="","*",FN_MC!M306)</f>
        <v>TCS-TGR</v>
      </c>
      <c r="H394" s="149">
        <f>IF(FN_MC!K306="","*",FN_MC!K306)</f>
        <v>290</v>
      </c>
      <c r="I394" s="131">
        <f>IF(FN_MC!O306="","*",FN_MC!O306)</f>
        <v>0.375</v>
      </c>
      <c r="J394" s="131">
        <f>IF(FN_MC!P306="","*",FN_MC!P306)</f>
        <v>4.1666666666666664E-2</v>
      </c>
      <c r="K394" s="140" t="str">
        <f>IF(FN_MC!AK306="","*",FN_MC!AK306)</f>
        <v>TCS2</v>
      </c>
      <c r="L394" s="140" t="str">
        <f>IF(FN_MC!AM306="","*",FN_MC!AM306)</f>
        <v>TCS-TGR</v>
      </c>
      <c r="M394" s="140">
        <f>IF(FN_MC!AP306="","*",FN_MC!AP306)</f>
        <v>290</v>
      </c>
      <c r="N394" s="140" t="str">
        <f>IF(FN_MC!AM306="","*",FN_MC!AM306)</f>
        <v>TCS-TGR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>
        <f>IF(FN_MC!B307="","*",FN_MC!B307)</f>
        <v>46042</v>
      </c>
      <c r="B395" s="98" t="str">
        <f>IF(FN_MC!X307="","*",FN_MC!X307)</f>
        <v>Oportunidade</v>
      </c>
      <c r="C395" s="99" t="str">
        <f>IF(FN_MC!S307="","*",FN_MC!S307)</f>
        <v>FERRONORTE</v>
      </c>
      <c r="D395" s="99" t="str">
        <f>IF(FN_MC!T307="","*",FN_MC!T307)</f>
        <v>TMI-TCS</v>
      </c>
      <c r="E395" s="99" t="str">
        <f>IF(FN_MC!D307="","*",FN_MC!D307)</f>
        <v>W50</v>
      </c>
      <c r="F395" s="99" t="str">
        <f>IF(FN_MC!H307="","*",FN_MC!H307)</f>
        <v>TCS2</v>
      </c>
      <c r="G395" s="99" t="str">
        <f>IF(FN_MC!M307="","*",FN_MC!M307)</f>
        <v>TID-TVI</v>
      </c>
      <c r="H395" s="149">
        <f>IF(FN_MC!K307="","*",FN_MC!K307)</f>
        <v>197</v>
      </c>
      <c r="I395" s="131">
        <f>IF(FN_MC!O307="","*",FN_MC!O307)</f>
        <v>0.35416666666666669</v>
      </c>
      <c r="J395" s="131">
        <f>IF(FN_MC!P307="","*",FN_MC!P307)</f>
        <v>0.125</v>
      </c>
      <c r="K395" s="140" t="str">
        <f>IF(FN_MC!AK307="","*",FN_MC!AK307)</f>
        <v>TCS2</v>
      </c>
      <c r="L395" s="140" t="str">
        <f>IF(FN_MC!AM307="","*",FN_MC!AM307)</f>
        <v>TID-TVI</v>
      </c>
      <c r="M395" s="140">
        <f>IF(FN_MC!AP307="","*",FN_MC!AP307)</f>
        <v>197</v>
      </c>
      <c r="N395" s="140" t="str">
        <f>IF(FN_MC!AM307="","*",FN_MC!AM307)</f>
        <v>TID-TVI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>
        <f>IF(FN_MC!B308="","*",FN_MC!B308)</f>
        <v>46042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1715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2026-01-19T15:39:41Z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