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142" documentId="8_{B6337239-1A00-434D-AAD0-422EA1FEB5AE}" xr6:coauthVersionLast="47" xr6:coauthVersionMax="47" xr10:uidLastSave="{65BE89A8-1AA5-4848-A574-EDE068A4F8C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Maquinista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7" hidden="1">'CONTROLE D+1'!$A$2:$Y$3000</definedName>
    <definedName name="_xlnm._FilterDatabase" localSheetId="6" hidden="1">'CONTROLE D'!$A$6:$R$1000</definedName>
    <definedName name="_xlnm._FilterDatabase" localSheetId="8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7" i="1" l="1" a="1"/>
  <c r="N77" i="1"/>
  <c r="N78" i="1" a="1"/>
  <c r="N78" i="1"/>
  <c r="M77" i="1" a="1"/>
  <c r="M77" i="1"/>
  <c r="M78" i="1" a="1"/>
  <c r="M78" i="1"/>
  <c r="M75" i="1" a="1"/>
  <c r="M75" i="1"/>
  <c r="N75" i="1" a="1"/>
  <c r="N75" i="1"/>
  <c r="H71" i="1" a="1"/>
  <c r="H71" i="1" s="1"/>
  <c r="M71" i="1" a="1"/>
  <c r="M71" i="1"/>
  <c r="N71" i="1" a="1"/>
  <c r="N71" i="1"/>
  <c r="H74" i="1" a="1"/>
  <c r="H74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/>
  <c r="R519" i="1"/>
  <c r="S519" i="1" a="1"/>
  <c r="S519" i="1" s="1"/>
  <c r="T519" i="1" a="1"/>
  <c r="T519" i="1"/>
  <c r="U519" i="1"/>
  <c r="AI519" i="1"/>
  <c r="AJ519" i="1"/>
  <c r="AK519" i="1"/>
  <c r="AL519" i="1"/>
  <c r="AN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D526" i="1" s="1" a="1"/>
  <c r="BD526" i="1" s="1"/>
  <c r="AP526" i="1"/>
  <c r="AQ526" i="1"/>
  <c r="BB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D527" i="1" s="1" a="1"/>
  <c r="BD527" i="1" s="1"/>
  <c r="AP527" i="1"/>
  <c r="AQ527" i="1"/>
  <c r="BB527" i="1"/>
  <c r="BC527" i="1" a="1"/>
  <c r="BC527" i="1" s="1"/>
  <c r="BE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AP529" i="1"/>
  <c r="AQ529" i="1"/>
  <c r="BC529" i="1" a="1"/>
  <c r="BC529" i="1" s="1"/>
  <c r="BD529" i="1" a="1"/>
  <c r="BD529" i="1" s="1"/>
  <c r="BE529" i="1"/>
  <c r="BF529" i="1"/>
  <c r="BR529" i="1"/>
  <c r="BS529" i="1"/>
  <c r="A530" i="1"/>
  <c r="G530" i="1"/>
  <c r="M530" i="1" a="1"/>
  <c r="M530" i="1"/>
  <c r="A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O530" i="1"/>
  <c r="BE530" i="1" s="1"/>
  <c r="AP530" i="1"/>
  <c r="AQ530" i="1"/>
  <c r="BB530" i="1"/>
  <c r="BC530" i="1" a="1"/>
  <c r="BC530" i="1"/>
  <c r="BD530" i="1" a="1"/>
  <c r="BD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O532" i="1"/>
  <c r="BD532" i="1" s="1" a="1"/>
  <c r="BD532" i="1" s="1"/>
  <c r="AP532" i="1"/>
  <c r="AQ532" i="1"/>
  <c r="BB532" i="1"/>
  <c r="BC532" i="1" a="1"/>
  <c r="BC532" i="1" s="1"/>
  <c r="BE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O533" i="1"/>
  <c r="AP533" i="1"/>
  <c r="AQ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N535" i="1"/>
  <c r="AO535" i="1"/>
  <c r="AP535" i="1"/>
  <c r="AQ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M536" i="1"/>
  <c r="AO536" i="1"/>
  <c r="AP536" i="1"/>
  <c r="AQ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/>
  <c r="U538" i="1"/>
  <c r="AI538" i="1"/>
  <c r="AJ538" i="1"/>
  <c r="AK538" i="1"/>
  <c r="AL538" i="1"/>
  <c r="AO538" i="1"/>
  <c r="BD538" i="1" s="1" a="1"/>
  <c r="BD538" i="1" s="1"/>
  <c r="AP538" i="1"/>
  <c r="AQ538" i="1"/>
  <c r="BB538" i="1"/>
  <c r="BC538" i="1" a="1"/>
  <c r="BC538" i="1" s="1"/>
  <c r="BE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BD541" i="1" s="1" a="1"/>
  <c r="BD541" i="1" s="1"/>
  <c r="AP541" i="1"/>
  <c r="AQ541" i="1"/>
  <c r="BB541" i="1"/>
  <c r="BC541" i="1" a="1"/>
  <c r="BC541" i="1" s="1"/>
  <c r="BE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AP543" i="1"/>
  <c r="AQ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BD301" i="1" s="1" a="1"/>
  <c r="BD301" i="1" s="1"/>
  <c r="AP301" i="1"/>
  <c r="AQ301" i="1"/>
  <c r="BB301" i="1"/>
  <c r="BC301" i="1" a="1"/>
  <c r="BC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1" i="1" l="1"/>
  <c r="BE539" i="1"/>
  <c r="BE531" i="1"/>
  <c r="BE528" i="1"/>
  <c r="BD320" i="1" a="1"/>
  <c r="BD320" i="1" s="1"/>
  <c r="BD316" i="1" a="1"/>
  <c r="BD316" i="1" s="1"/>
  <c r="BD312" i="1" a="1"/>
  <c r="BD312" i="1" s="1"/>
  <c r="BE552" i="1"/>
  <c r="BE551" i="1"/>
  <c r="BE549" i="1"/>
  <c r="BE547" i="1"/>
  <c r="BE540" i="1"/>
  <c r="BE526" i="1"/>
  <c r="AJ72" i="1"/>
  <c r="AJ70" i="1"/>
  <c r="AJ69" i="1"/>
  <c r="AJ81" i="1"/>
  <c r="AJ79" i="1"/>
  <c r="AJ74" i="1"/>
  <c r="AJ73" i="1"/>
  <c r="AJ77" i="1"/>
  <c r="AJ75" i="1"/>
  <c r="K297" i="12"/>
  <c r="F266" i="13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<sst xmlns="http://schemas.openxmlformats.org/spreadsheetml/2006/main" count="4765" uniqueCount="1331">
  <si>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</si>
  <si>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</si>
  <si>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</si>
  <si>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</si>
  <si>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</si>
  <si>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</si>
  <si>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</si>
  <si>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</si>
  <si>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</si>
  <si>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</si>
  <si>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</si>
  <si>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</si>
  <si>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</si>
  <si>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</si>
  <si>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</si>
  <si>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</si>
  <si>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</si>
  <si>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</si>
  <si>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</si>
  <si>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</si>
  <si>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</si>
  <si>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</si>
  <si>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</si>
  <si>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</si>
  <si>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</si>
  <si>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</si>
  <si>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</si>
  <si>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</si>
  <si>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</si>
  <si>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</si>
  <si>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</si>
  <si>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</si>
  <si>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</si>
  <si>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</si>
  <si>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</si>
  <si>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</si>
  <si>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</si>
  <si>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</si>
  <si>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</si>
  <si>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</si>
  <si>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</si>
  <si>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</si>
  <si>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</si>
  <si>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</si>
  <si>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</si>
  <si>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</si>
  <si>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</si>
  <si>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</si>
  <si>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</si>
  <si>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</si>
  <si>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</si>
  <si>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</si>
  <si>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</si>
  <si>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</si>
  <si>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</si>
  <si>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</si>
  <si>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</si>
  <si>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</si>
  <si>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</si>
  <si>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</si>
  <si>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</si>
  <si>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</si>
  <si>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</si>
  <si>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</si>
  <si>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</si>
  <si>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</si>
  <si>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</si>
  <si>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</si>
  <si>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</si>
  <si>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</si>
  <si>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</si>
  <si>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</si>
  <si>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</si>
  <si>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</si>
  <si>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</si>
  <si>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</si>
  <si>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</si>
  <si>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</si>
  <si>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</si>
  <si>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</si>
  <si>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</si>
  <si>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</si>
  <si>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</si>
  <si>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</si>
  <si>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</si>
  <si>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</si>
  <si>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</si>
  <si>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</si>
  <si>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</si>
  <si>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</si>
  <si>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</si>
  <si>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</si>
  <si>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</si>
  <si>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</si>
  <si>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</si>
  <si>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</si>
  <si>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</si>
  <si>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</si>
  <si>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</si>
  <si>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</si>
  <si>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</si>
  <si>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</si>
  <si>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</si>
  <si>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</si>
  <si>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</si>
  <si>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</si>
  <si>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</si>
  <si>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</si>
  <si>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</si>
  <si>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</si>
  <si>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</si>
  <si>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</si>
  <si>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</si>
  <si>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</si>
  <si>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</si>
  <si>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</si>
  <si>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</si>
  <si>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</si>
  <si>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</si>
  <si>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</si>
  <si>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</si>
  <si>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</si>
  <si>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</si>
  <si>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</si>
  <si>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</si>
  <si>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</si>
  <si>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</si>
  <si>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</si>
  <si>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</si>
  <si>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</si>
  <si>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</si>
  <si>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</si>
  <si>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</si>
  <si>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</si>
  <si>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</si>
  <si>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</si>
  <si>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</si>
  <si>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</si>
  <si>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</si>
  <si>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</si>
  <si>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</si>
  <si>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</si>
  <si>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</si>
  <si>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</si>
  <si>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</si>
  <si>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</si>
  <si>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</si>
  <si>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</si>
  <si>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</si>
  <si>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</si>
  <si>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</si>
  <si>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</si>
  <si>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</si>
  <si>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</si>
  <si>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</si>
  <si>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</si>
  <si>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</si>
  <si>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</si>
  <si>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</si>
  <si>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</si>
  <si>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</si>
  <si>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</si>
  <si>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</si>
  <si>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</si>
  <si>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</si>
  <si>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</si>
  <si>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</si>
  <si>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</si>
  <si>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</si>
  <si>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</si>
  <si>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</si>
  <si>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</si>
  <si>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</si>
  <si>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</si>
  <si>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</si>
  <si>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</si>
  <si>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</si>
  <si>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</si>
  <si>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</si>
  <si>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</si>
  <si>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</si>
  <si>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</si>
  <si>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</si>
  <si>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</si>
  <si>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</si>
  <si>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</si>
  <si>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</si>
  <si>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</si>
  <si>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</si>
  <si>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</si>
  <si>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</si>
  <si>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</si>
  <si>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</si>
  <si>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</si>
  <si>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</si>
  <si>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</si>
  <si>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</si>
  <si>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</si>
  <si>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</si>
  <si>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</si>
  <si>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</si>
  <si>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</si>
  <si>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</si>
  <si>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</si>
  <si>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</si>
  <si>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</si>
  <si>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</si>
  <si>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</si>
  <si>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</si>
  <si>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</si>
  <si>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</si>
  <si>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</si>
  <si>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</si>
  <si>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</si>
  <si>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</si>
  <si>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</si>
  <si>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</si>
  <si>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</si>
  <si>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</si>
  <si>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</si>
  <si>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</si>
  <si>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</si>
  <si>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</si>
  <si>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</si>
  <si>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</si>
  <si>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</si>
  <si>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</si>
  <si>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</si>
  <si>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</si>
  <si>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</si>
  <si>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</si>
  <si>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</si>
  <si>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</si>
  <si>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</si>
  <si>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</si>
  <si>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</si>
  <si>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</si>
  <si>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</si>
  <si>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</si>
  <si>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</si>
  <si>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</si>
  <si>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</si>
  <si>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</si>
  <si>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</si>
  <si>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</si>
  <si>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</si>
  <si>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</si>
  <si>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</si>
  <si>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</si>
  <si>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</si>
  <si>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</si>
  <si>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</si>
  <si>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</si>
  <si>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</si>
  <si>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</si>
  <si>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</si>
  <si>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</si>
  <si>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</si>
  <si>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</si>
  <si>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</si>
  <si>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</si>
  <si>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</si>
  <si>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</si>
  <si>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</si>
  <si>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</si>
  <si>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</si>
  <si>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</si>
  <si>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</si>
  <si>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</si>
  <si>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</si>
  <si>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</si>
  <si>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</si>
  <si>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</si>
  <si>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</si>
  <si>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</si>
  <si>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</si>
  <si>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</si>
  <si>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</si>
  <si>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</si>
  <si>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</si>
  <si>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</si>
  <si>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</si>
  <si>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</si>
  <si>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</si>
  <si>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</si>
  <si>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</si>
  <si>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</si>
  <si>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</si>
  <si>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</si>
  <si>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</si>
  <si>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</si>
  <si>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</si>
  <si>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</si>
  <si>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</si>
  <si>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</si>
  <si>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</si>
  <si>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</si>
  <si>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</si>
  <si>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</si>
  <si>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</si>
  <si>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</si>
  <si>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</si>
  <si>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</si>
  <si>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</si>
  <si>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</si>
  <si>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</si>
  <si>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</si>
  <si>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</si>
  <si>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</si>
  <si>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</si>
  <si>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</si>
  <si>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</si>
  <si>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</si>
  <si>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</si>
  <si>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</si>
  <si>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</si>
  <si>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</si>
  <si>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</si>
  <si>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</si>
  <si>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</si>
  <si>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</si>
  <si>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</si>
  <si>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</si>
  <si>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</si>
  <si>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</si>
  <si>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</si>
  <si>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</si>
  <si>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</si>
  <si>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</si>
  <si>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</si>
  <si>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</si>
  <si>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</si>
  <si>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</si>
  <si>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</si>
  <si>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</si>
  <si>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</si>
  <si>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</si>
  <si>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</si>
  <si>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</si>
  <si>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</si>
  <si>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</si>
  <si>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</si>
  <si>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</si>
  <si>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</si>
  <si>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</si>
  <si>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</si>
  <si>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</si>
  <si>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</si>
  <si>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</si>
  <si>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</si>
  <si>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</si>
  <si>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</si>
  <si>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</si>
  <si>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</si>
  <si>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</si>
  <si>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</si>
  <si>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</si>
  <si>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</si>
  <si>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</si>
  <si>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</si>
  <si>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</si>
  <si>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</si>
  <si>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</si>
  <si>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</si>
  <si>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</si>
  <si>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</si>
  <si>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</si>
  <si>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</si>
  <si>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</si>
  <si>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</si>
  <si>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</si>
  <si>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</si>
  <si>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</si>
  <si>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</si>
  <si>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</si>
  <si>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</si>
  <si>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</si>
  <si>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</si>
  <si>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</si>
  <si>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</si>
  <si>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</si>
  <si>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</si>
  <si>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</si>
  <si>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</si>
  <si>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</si>
  <si>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</si>
  <si>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</si>
  <si>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</si>
  <si>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</si>
  <si>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</si>
  <si>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</si>
  <si>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</si>
  <si>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</si>
  <si>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</si>
  <si>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</si>
  <si>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</si>
  <si>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</si>
  <si>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</si>
  <si>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</si>
  <si>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</si>
  <si>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</si>
  <si>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</si>
  <si>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</si>
  <si>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</si>
  <si>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</si>
  <si>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</si>
  <si>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</si>
  <si>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</si>
  <si>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</si>
  <si>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</si>
  <si>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</si>
  <si>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</si>
  <si>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</si>
  <si>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</si>
  <si>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</si>
  <si>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</si>
  <si>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</si>
  <si>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</si>
  <si>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</si>
  <si>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</si>
  <si>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</si>
  <si>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</si>
  <si>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</si>
  <si>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</si>
  <si>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</si>
  <si>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</si>
  <si>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</si>
  <si>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</si>
  <si>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</si>
  <si>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</si>
  <si>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</si>
  <si>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</si>
  <si>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</si>
  <si>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</si>
  <si>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</si>
  <si>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</si>
  <si>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</si>
  <si>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</si>
  <si>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</si>
  <si>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</si>
  <si>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</si>
  <si>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</si>
  <si>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</si>
  <si>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</si>
  <si>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</si>
  <si>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</si>
  <si>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</si>
  <si>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</si>
  <si>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</si>
  <si>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</si>
  <si>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</si>
  <si>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</si>
  <si>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</si>
  <si>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</si>
  <si>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</si>
  <si>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</si>
  <si>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</si>
  <si>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</si>
  <si>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</si>
  <si>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</si>
  <si>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</si>
  <si>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</si>
  <si>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</si>
  <si>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</si>
  <si>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</si>
  <si>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</si>
  <si>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</si>
  <si>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</si>
  <si>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</si>
  <si>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</si>
  <si>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</si>
  <si>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</si>
  <si>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</si>
  <si>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</si>
  <si>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</si>
  <si>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</si>
  <si>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</si>
  <si>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</si>
  <si>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</si>
  <si>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</si>
  <si>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</si>
  <si>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</si>
  <si>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</si>
  <si>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</si>
  <si>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</si>
  <si>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</si>
  <si>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</si>
  <si>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</si>
  <si>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</si>
  <si>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</si>
  <si>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</si>
  <si>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</si>
  <si>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</si>
  <si>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</si>
  <si>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</si>
  <si>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</si>
  <si>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</si>
  <si>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</si>
  <si>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</si>
  <si>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</si>
  <si>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</si>
  <si>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</si>
  <si>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</si>
  <si>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</si>
  <si>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</si>
  <si>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</si>
  <si>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</si>
  <si>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</si>
  <si>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</si>
  <si>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</si>
  <si>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</si>
  <si>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</si>
  <si>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</si>
  <si>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</si>
  <si>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</si>
  <si>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</si>
  <si>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</si>
  <si>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</si>
  <si>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</si>
  <si>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</si>
  <si>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</si>
  <si>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</si>
  <si>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</si>
  <si>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</si>
  <si>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</si>
  <si>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</si>
  <si>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</si>
  <si>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</si>
  <si>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</si>
  <si>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</si>
  <si>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</si>
  <si>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</si>
  <si>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</si>
  <si>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</si>
  <si>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</si>
  <si>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</si>
  <si>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</si>
  <si>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</si>
  <si>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</si>
  <si>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</si>
  <si>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</si>
  <si>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</si>
  <si>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</si>
  <si>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</si>
  <si>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</si>
  <si>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</si>
  <si>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</si>
  <si>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</si>
  <si>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</si>
  <si>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</si>
  <si>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</si>
  <si>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</si>
  <si>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</si>
  <si>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</si>
  <si>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</si>
  <si>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</si>
  <si>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</si>
  <si>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</si>
  <si>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</si>
  <si>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</si>
  <si>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</si>
  <si>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</si>
  <si>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</si>
  <si>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</si>
  <si>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</si>
  <si>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</si>
  <si>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</si>
  <si>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</si>
  <si>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</si>
  <si>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</si>
  <si>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</si>
  <si>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</si>
  <si>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</si>
  <si>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</si>
  <si>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</si>
  <si>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</si>
  <si>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</si>
  <si>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</si>
  <si>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</si>
  <si>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</si>
  <si>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</si>
  <si>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</si>
  <si>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</si>
  <si>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</si>
  <si>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</si>
  <si>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</si>
  <si>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</si>
  <si>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</si>
  <si>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</si>
  <si>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</si>
  <si>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</si>
  <si>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</si>
  <si>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</si>
  <si>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</si>
  <si>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</si>
  <si>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</si>
  <si>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</si>
  <si>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</si>
  <si>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</si>
  <si>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</si>
  <si>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</si>
  <si>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</si>
  <si>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</si>
  <si>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</si>
  <si>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</si>
  <si>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</si>
  <si>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</si>
  <si>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</si>
  <si>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</si>
  <si>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</si>
  <si>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</si>
  <si>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</si>
  <si>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</si>
  <si>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</si>
  <si>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</si>
  <si>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</si>
  <si>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</si>
  <si>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</si>
  <si>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</si>
  <si>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</si>
  <si>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</si>
  <si>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</si>
  <si>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</si>
  <si>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</si>
  <si>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</si>
  <si>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</si>
  <si>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</si>
  <si>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</si>
  <si>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</si>
  <si>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</si>
  <si>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</si>
  <si>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</si>
  <si>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</si>
  <si>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</si>
  <si>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</si>
  <si>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</si>
  <si>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</si>
  <si>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</si>
  <si>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</si>
  <si>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</si>
  <si>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</si>
  <si>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</si>
  <si>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</si>
  <si>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</si>
  <si>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</si>
  <si>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</si>
  <si>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</si>
  <si>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</si>
  <si>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</si>
  <si>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</si>
  <si>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</si>
  <si>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</si>
  <si>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</si>
  <si>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</si>
  <si>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</si>
  <si>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</si>
  <si>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</si>
  <si>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</si>
  <si>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</si>
  <si>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</si>
  <si>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</si>
  <si>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</si>
  <si>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</si>
  <si>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</si>
  <si>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</si>
  <si>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</si>
  <si>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</si>
  <si>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</si>
  <si>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</si>
  <si>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</si>
  <si>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</si>
  <si>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</si>
  <si>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</si>
  <si>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</si>
  <si>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</si>
  <si>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</si>
  <si>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</si>
  <si>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</si>
  <si>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</si>
  <si>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</si>
  <si>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</si>
  <si>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</si>
  <si>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</si>
  <si>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</si>
  <si>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</si>
  <si>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</si>
  <si>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</si>
  <si>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</si>
  <si>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</si>
  <si>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</si>
  <si>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</si>
  <si>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</si>
  <si>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</si>
  <si>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</si>
  <si>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</si>
  <si>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</si>
  <si>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</si>
  <si>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</si>
  <si>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</si>
  <si>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</si>
  <si>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</si>
  <si>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</si>
  <si>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</si>
  <si>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</si>
  <si>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</si>
  <si>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</si>
  <si>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</si>
  <si>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</si>
  <si>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</si>
  <si>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</si>
  <si>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</si>
  <si>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</si>
  <si>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</si>
  <si>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</si>
  <si>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</si>
  <si>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</si>
  <si>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</si>
  <si>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</si>
  <si>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</si>
  <si>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</si>
  <si>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</si>
  <si>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</si>
  <si>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</si>
  <si>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</si>
  <si>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</si>
  <si>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</si>
  <si>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</si>
  <si>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</si>
  <si>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</si>
  <si>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</si>
  <si>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</si>
  <si>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</si>
  <si>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</si>
  <si>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</si>
  <si>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</si>
  <si>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</si>
  <si>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</si>
  <si>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</si>
  <si>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</si>
  <si>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</si>
  <si>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</si>
  <si>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</si>
  <si>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</si>
  <si>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</si>
  <si>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</si>
  <si>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</si>
  <si>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</si>
  <si>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</si>
  <si>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</si>
  <si>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</si>
  <si>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</si>
  <si>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</si>
  <si>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</si>
  <si>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</si>
  <si>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</si>
  <si>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</si>
  <si>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</si>
  <si>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</si>
  <si>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</si>
  <si>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</si>
  <si>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</si>
  <si>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</si>
  <si>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</si>
  <si>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</si>
  <si>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</si>
  <si>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</si>
  <si>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</si>
  <si>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</si>
  <si>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</si>
  <si>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</si>
  <si>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</si>
  <si>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</si>
  <si>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</si>
  <si>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</si>
  <si>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</si>
  <si>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</si>
  <si>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</si>
  <si>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</si>
  <si>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</si>
  <si>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</si>
  <si>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</si>
  <si>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</si>
  <si>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</si>
  <si>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</si>
  <si>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</si>
  <si>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</si>
  <si>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</si>
  <si>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</si>
  <si>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</si>
  <si>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</si>
  <si>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</si>
  <si>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</si>
  <si>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</si>
  <si>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</si>
  <si>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</si>
  <si>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</si>
  <si>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</si>
  <si>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</si>
  <si>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</si>
  <si>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</si>
  <si>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</si>
  <si>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</si>
  <si>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</si>
  <si>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</si>
  <si>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</si>
  <si>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</si>
  <si>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</si>
  <si>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</si>
  <si>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</si>
  <si>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</si>
  <si>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</si>
  <si>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</si>
  <si>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</si>
  <si>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</si>
  <si>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</si>
  <si>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</si>
  <si>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</si>
  <si>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</si>
  <si>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</si>
  <si>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</si>
  <si>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</si>
  <si>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</si>
  <si>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</si>
  <si>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</si>
  <si>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</si>
  <si>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</si>
  <si>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</si>
  <si>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</si>
  <si>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</si>
  <si>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</si>
  <si>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</si>
  <si>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</si>
  <si>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</si>
  <si>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</si>
  <si>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</si>
  <si>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</si>
  <si>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</si>
  <si>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</si>
  <si>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</si>
  <si>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</si>
  <si>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</si>
  <si>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</si>
  <si>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</si>
  <si>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</si>
  <si>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</si>
  <si>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</si>
  <si>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</si>
  <si>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</si>
  <si>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</si>
  <si>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</si>
  <si>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</si>
  <si>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</si>
  <si>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</si>
  <si>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</si>
  <si>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</si>
  <si>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</si>
  <si>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</si>
  <si>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</si>
  <si>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</si>
  <si>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</si>
  <si>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</si>
  <si>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</si>
  <si>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</si>
  <si>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</si>
  <si>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</si>
  <si>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</si>
  <si>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</si>
  <si>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</si>
  <si>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</si>
  <si>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</si>
  <si>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</si>
  <si>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</si>
  <si>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</si>
  <si>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</si>
  <si>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</si>
  <si>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</si>
  <si>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</si>
  <si>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</si>
  <si>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</si>
  <si>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</si>
  <si>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</si>
  <si>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</si>
  <si>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</si>
  <si>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</si>
  <si>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</si>
  <si>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</si>
  <si>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</si>
  <si>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</si>
  <si>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</si>
  <si>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</si>
  <si>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</si>
  <si>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</si>
  <si>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</si>
  <si>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</si>
  <si>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</si>
  <si>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</si>
  <si>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</si>
  <si>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</si>
  <si>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</si>
  <si>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</si>
  <si>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</si>
  <si>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</si>
  <si>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</si>
  <si>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</si>
  <si>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</si>
  <si>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</si>
  <si>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</si>
  <si>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</si>
  <si>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</si>
  <si>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</si>
  <si>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</si>
  <si>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</si>
  <si>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</si>
  <si>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</si>
  <si>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</si>
  <si>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</si>
  <si>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</si>
  <si>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</si>
  <si>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</si>
  <si>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</si>
  <si>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</si>
  <si>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</si>
  <si>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</si>
  <si>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</si>
  <si>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</si>
  <si>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</si>
  <si>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</si>
  <si>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</si>
  <si>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</si>
  <si>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</si>
  <si>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</si>
  <si>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</si>
  <si>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</si>
  <si>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</si>
  <si>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</si>
  <si>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</si>
  <si>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</si>
  <si>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</si>
  <si>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</si>
  <si>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</si>
  <si>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</si>
  <si>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</si>
  <si>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</si>
  <si>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</si>
  <si>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</si>
  <si>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</si>
  <si>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</si>
  <si>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</si>
  <si>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</si>
  <si>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</si>
  <si>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</si>
  <si>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</si>
  <si>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</si>
  <si>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</si>
  <si>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</si>
  <si>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</si>
  <si>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</si>
  <si>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</si>
  <si>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</si>
  <si>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</si>
  <si>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</si>
  <si>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</si>
  <si>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</si>
  <si>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</si>
  <si>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</si>
  <si>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</si>
  <si>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</si>
  <si>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</si>
  <si>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</si>
  <si>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</si>
  <si>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</si>
  <si>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</si>
  <si>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</si>
  <si>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</si>
  <si>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</si>
  <si>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</si>
  <si>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</si>
  <si>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</si>
  <si>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</si>
  <si>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</si>
  <si>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</si>
  <si>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</si>
  <si>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</si>
  <si>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</si>
  <si>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</si>
  <si>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</si>
  <si>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</si>
  <si>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</si>
  <si>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</si>
  <si>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</si>
  <si>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</si>
  <si>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</si>
  <si>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</si>
  <si>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</si>
  <si>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</si>
  <si>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</si>
  <si>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</si>
  <si>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</si>
  <si>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</si>
  <si>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</si>
  <si>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</si>
  <si>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</si>
  <si>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</si>
  <si>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</si>
  <si>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</si>
  <si>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</si>
  <si>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</si>
  <si>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</si>
  <si>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</si>
  <si>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</si>
  <si>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</si>
  <si>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</si>
  <si>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</si>
  <si>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</si>
  <si>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</si>
  <si>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</si>
  <si>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</si>
  <si>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</si>
  <si>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</si>
  <si>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</si>
  <si>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</si>
  <si>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</si>
  <si>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</si>
  <si>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</si>
  <si>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</si>
  <si>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</si>
  <si>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</si>
  <si>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</si>
  <si>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</si>
  <si>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</si>
  <si>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</si>
  <si>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</si>
  <si>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</si>
  <si>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</si>
  <si>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</si>
  <si>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</si>
  <si>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</si>
  <si>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</si>
  <si>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</si>
  <si>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</si>
  <si>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</si>
  <si>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</si>
  <si>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</si>
  <si>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</si>
  <si>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</si>
  <si>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</si>
  <si>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</si>
  <si>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</si>
  <si>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</si>
  <si>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</si>
  <si>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</si>
  <si>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</si>
  <si>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</si>
  <si>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</si>
  <si>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</si>
  <si>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</si>
  <si>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</si>
  <si>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</si>
  <si>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</si>
  <si>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</si>
  <si>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</si>
  <si>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</si>
  <si>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</si>
  <si>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</si>
  <si>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</si>
  <si>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</si>
  <si>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</si>
  <si>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</si>
  <si>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</si>
  <si>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</si>
  <si>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</si>
  <si>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</si>
  <si>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</si>
  <si>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</si>
  <si>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</si>
  <si>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</si>
  <si>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</si>
  <si>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</si>
  <si>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</si>
  <si>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</si>
  <si>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</si>
  <si>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</si>
  <si>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</si>
  <si>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</si>
  <si>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</si>
  <si>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</si>
  <si>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</si>
  <si>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</si>
  <si>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</si>
  <si>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</si>
  <si>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</si>
  <si>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</si>
  <si>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</si>
  <si>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</si>
  <si>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</si>
  <si>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</si>
  <si>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</si>
  <si>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</si>
  <si>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</si>
  <si>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</si>
  <si>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</si>
  <si>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</si>
  <si>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</si>
  <si>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</si>
  <si>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</si>
  <si>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</si>
  <si>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</si>
  <si>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</si>
  <si>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</si>
  <si>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</si>
  <si>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</si>
  <si>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</si>
  <si>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</si>
  <si>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</si>
  <si>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</si>
  <si>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</si>
  <si>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</si>
  <si>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</si>
  <si>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</si>
  <si>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</si>
  <si>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</si>
  <si>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</si>
  <si>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</si>
  <si>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</si>
  <si>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</si>
  <si>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</si>
  <si>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</si>
  <si>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</si>
  <si>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</si>
  <si>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</si>
  <si>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</si>
  <si>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</si>
  <si>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</si>
  <si>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</si>
  <si>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</si>
  <si>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</si>
  <si>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</si>
  <si>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</si>
  <si>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</si>
  <si>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</si>
  <si>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</si>
  <si>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</si>
  <si>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</si>
  <si>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</si>
  <si>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</si>
  <si>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</si>
  <si>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</si>
  <si>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</si>
  <si>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</si>
  <si>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</si>
  <si>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</si>
  <si>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</si>
  <si>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</si>
  <si>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</si>
  <si>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</si>
  <si>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</si>
  <si>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</si>
  <si>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</si>
  <si>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</si>
  <si>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</si>
  <si>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</si>
  <si>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</si>
  <si>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</si>
  <si>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</si>
  <si>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</si>
  <si>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</si>
  <si>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</si>
  <si>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</si>
  <si>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</si>
  <si>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</si>
  <si>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</si>
  <si>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</si>
  <si>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</si>
  <si>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</si>
  <si>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</si>
  <si>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</si>
  <si>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</si>
  <si>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</si>
  <si>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</si>
  <si>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</si>
  <si>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</si>
  <si>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</si>
  <si>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</si>
  <si>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</si>
  <si>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</si>
  <si>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</si>
  <si>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</si>
  <si>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</si>
  <si>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</si>
  <si>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</si>
  <si>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</si>
  <si>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</si>
  <si>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</si>
  <si>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</si>
  <si>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</si>
  <si>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</si>
  <si>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</si>
  <si>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</si>
  <si>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</si>
  <si>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</si>
  <si>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</si>
  <si>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</si>
  <si>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</si>
  <si>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</si>
  <si>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</si>
  <si>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</si>
  <si>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</si>
  <si>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</si>
  <si>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</si>
  <si>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</si>
  <si>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</si>
  <si>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</si>
  <si>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</si>
  <si>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</si>
  <si>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</si>
  <si>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</si>
  <si>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</si>
  <si>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</si>
  <si>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</si>
  <si>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</si>
  <si>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</si>
  <si>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</si>
  <si>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</si>
  <si>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</si>
  <si>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</si>
  <si>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</si>
  <si>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</si>
  <si>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</si>
  <si>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</si>
  <si>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</si>
  <si>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</si>
  <si>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</si>
  <si>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</si>
  <si>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</si>
  <si>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</si>
  <si>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</si>
  <si>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</si>
  <si>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</si>
  <si>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</si>
  <si>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</si>
  <si>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</si>
  <si>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</si>
  <si>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</si>
  <si>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</si>
  <si>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</si>
  <si>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</si>
  <si>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</si>
  <si>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</si>
  <si>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</si>
  <si>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</si>
  <si>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</si>
  <si>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</si>
  <si>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</si>
  <si>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</si>
  <si>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</si>
  <si>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</si>
  <si>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</si>
  <si>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</si>
  <si>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</si>
  <si>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</si>
  <si>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</si>
  <si>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</si>
  <si>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TAG</t>
  </si>
  <si>
    <t>TAG2</t>
  </si>
  <si>
    <t xml:space="preserve">Trabalha em TAG2 </t>
  </si>
  <si>
    <t>10:54h</t>
  </si>
  <si>
    <t>MC as 10:54h/ Em intervalo das 11:40 as 23h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</si>
  <si>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</si>
  <si>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</si>
  <si>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</si>
  <si>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</si>
  <si>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</si>
  <si>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TMI</t>
  </si>
  <si>
    <t>TMITCS</t>
  </si>
  <si>
    <t>Ronda 7 dias</t>
  </si>
  <si>
    <t>MC1 as 08:14h/ liceça as 08:39h - em inspeção para TCS</t>
  </si>
  <si>
    <t>MC1 as 05:54h/ licença as 05:57h/ em intervalo as 07:47h</t>
  </si>
  <si>
    <t>TSF-TEX</t>
  </si>
  <si>
    <t>TVITJA</t>
  </si>
  <si>
    <t>TP-492</t>
  </si>
  <si>
    <t>Augusto</t>
  </si>
  <si>
    <t>Descarga de dormente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</si>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</sst>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W74" activePane="bottomRight" state="frozen"/>
      <selection pane="bottomRight" activeCell="AB77" sqref="AB7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161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5" t="str">
        <f t="shared" si="5"/>
        <v>OKOK</v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5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5" t="str">
        <f t="shared" si="5"/>
        <v>MecanizaçãoAtivos</v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5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5" t="str">
        <f t="shared" si="5"/>
        <v>OKOK</v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1259</v>
      </c>
      <c r="X60" s="218" t="s">
        <v>957</v>
      </c>
      <c r="Y60" s="158"/>
      <c r="Z60" s="158"/>
      <c r="AA60" s="83" t="s">
        <v>1260</v>
      </c>
      <c r="AB60" s="70" t="s">
        <v>954</v>
      </c>
      <c r="AC60" s="70" t="s">
        <v>955</v>
      </c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/>
      <c r="BI60" s="16"/>
      <c r="BJ60" s="16" t="s">
        <v>1261</v>
      </c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117</v>
      </c>
      <c r="G61" s="9" t="str">
        <f>IF(D61="","*",VLOOKUP(F61,BS_ATIVIDADE[#All],3,FALSE))</f>
        <v>MECANIZAÇÃO - SOCADORA</v>
      </c>
      <c r="H61" s="173" t="s">
        <v>941</v>
      </c>
      <c r="I61" s="173" t="s">
        <v>1262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">
        <v>1263</v>
      </c>
      <c r="O61" s="173">
        <v>0.3125</v>
      </c>
      <c r="P61" s="173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1264</v>
      </c>
      <c r="X61" s="218" t="s">
        <v>957</v>
      </c>
      <c r="Y61" s="158"/>
      <c r="Z61" s="158"/>
      <c r="AA61" s="83">
        <v>1</v>
      </c>
      <c r="AB61" s="70" t="s">
        <v>948</v>
      </c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TAG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TAG2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 t="s">
        <v>1265</v>
      </c>
      <c r="AS61" s="38">
        <v>0.4861111111111111</v>
      </c>
      <c r="AT61" s="38">
        <v>0.95833333333333337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0.47222222222222227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>
        <v>1</v>
      </c>
      <c r="BI61" s="16"/>
      <c r="BJ61" s="16" t="s">
        <v>1266</v>
      </c>
      <c r="BK61" s="16"/>
      <c r="BL61" s="15"/>
      <c r="BM61" s="14"/>
      <c r="BN61" s="14"/>
      <c r="BO61" s="165"/>
      <c r="BP61" s="16"/>
      <c r="BQ61" s="12" t="str">
        <f t="shared" si="2"/>
        <v>Produção</v>
      </c>
      <c r="BR61" s="18">
        <f>IF(OR(B61="",F61=""),"*",AY61/P61)</f>
        <v>2.8333333333333339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1267</v>
      </c>
      <c r="W62" s="173" t="s">
        <v>1268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1269</v>
      </c>
      <c r="W63" s="173" t="s">
        <v>1270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ERRO</v>
      </c>
      <c r="AZ63" s="13"/>
      <c r="BA63" s="71"/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>
        <v>1</v>
      </c>
      <c r="BI63" s="16"/>
      <c r="BJ63" s="16" t="s">
        <v>1271</v>
      </c>
      <c r="BK63" s="16"/>
      <c r="BL63" s="15"/>
      <c r="BM63" s="14"/>
      <c r="BN63" s="14"/>
      <c r="BO63" s="165"/>
      <c r="BP63" s="16"/>
      <c r="BQ63" s="12" t="e">
        <f t="shared" si="2"/>
        <v>#VALUE!</v>
      </c>
      <c r="BR63" s="18" t="e">
        <f t="shared" si="3"/>
        <v>#VALUE!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1272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1273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1269</v>
      </c>
      <c r="W64" s="173" t="s">
        <v>1274</v>
      </c>
      <c r="X64" s="218" t="s">
        <v>957</v>
      </c>
      <c r="Y64" s="158"/>
      <c r="Z64" s="158"/>
      <c r="AA64" s="83">
        <v>1</v>
      </c>
      <c r="AB64" s="70" t="s">
        <v>948</v>
      </c>
      <c r="AC64" s="70"/>
      <c r="AD64" s="173">
        <v>0.29166666666666669</v>
      </c>
      <c r="AE64" s="83">
        <v>5487</v>
      </c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9">
        <f>IF(D64="","*",IFERROR(IF(ISODD(COUNT(AS64:AX64)),"ERRO",SUM((AT64-AS64),(AV64-AU64),(AX64-AW64))),"ERRO"))</f>
        <v>4.1666666666666664E-2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>
        <v>1</v>
      </c>
      <c r="BI64" s="16"/>
      <c r="BJ64" s="16" t="s">
        <v>1275</v>
      </c>
      <c r="BK64" s="16"/>
      <c r="BL64" s="15"/>
      <c r="BM64" s="14"/>
      <c r="BN64" s="14"/>
      <c r="BO64" s="165"/>
      <c r="BP64" s="16"/>
      <c r="BQ64" s="12" t="str">
        <f t="shared" si="2"/>
        <v>Produção</v>
      </c>
      <c r="BR64" s="18">
        <f t="shared" si="3"/>
        <v>1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 t="s">
        <v>957</v>
      </c>
      <c r="Y65" s="158"/>
      <c r="Z65" s="158"/>
      <c r="AA65" s="83">
        <v>1</v>
      </c>
      <c r="AB65" s="70" t="s">
        <v>948</v>
      </c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>
        <v>1</v>
      </c>
      <c r="BI65" s="16"/>
      <c r="BJ65" s="16" t="s">
        <v>1276</v>
      </c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11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>W7046028</v>
      </c>
      <c r="B69" s="171">
        <v>46028</v>
      </c>
      <c r="C69" s="8">
        <f>IF(BS_CONTROLE[[#This Row],[DATA]]="","",WEEKNUM(BS_CONTROLE[[#This Row],[DATA]]))</f>
        <v>2</v>
      </c>
      <c r="D69" s="51" t="s">
        <v>239</v>
      </c>
      <c r="E69" s="320">
        <v>64</v>
      </c>
      <c r="F69" s="172" t="s">
        <v>187</v>
      </c>
      <c r="G69" s="9" t="str">
        <f>IF(D69="","*",VLOOKUP(F69,BS_ATIVIDADE[#All],3,FALSE))</f>
        <v>PEDRA</v>
      </c>
      <c r="H69" s="173" t="s">
        <v>424</v>
      </c>
      <c r="I69" s="173" t="s">
        <v>941</v>
      </c>
      <c r="J69" s="217">
        <v>98</v>
      </c>
      <c r="K69" s="217">
        <v>732</v>
      </c>
      <c r="L69" s="83">
        <v>735</v>
      </c>
      <c r="M69" s="204" t="s">
        <v>1277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69" s="173">
        <v>0.375</v>
      </c>
      <c r="P69" s="173">
        <v>0.16666666666666666</v>
      </c>
      <c r="Q69" s="83">
        <v>30</v>
      </c>
      <c r="R69" s="10" t="str">
        <f>IFERROR(_xlfn.XLOOKUP(F69, BS_ATIVIDADE[ATIVIDADE],BS_ATIVIDADE[UNIDADE] ), "*")</f>
        <v>VAGÕES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9" s="80" t="str">
        <f>IFERROR(_xlfn.XLOOKUP(J69, BASE_MAPA!$E$2:$E$359, BASE_MAPA!$J$2:$J$359), "ERRO")</f>
        <v>ALTO ARAGUAIA - RONDONOPOLIS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PDM - PEDRA - DESCARGA</v>
      </c>
      <c r="AJ69" s="9" t="str">
        <f>IF(D69="","*",VLOOKUP(AI69,BS_ATIVIDADE[#Data],3,FALSE))</f>
        <v>PEDRA</v>
      </c>
      <c r="AK69" s="284" t="str">
        <f>IF(BS_CONTROLE[[#This Row],[Local - Partida]]=0, "-", BS_CONTROLE[[#This Row],[Local - Partida]])</f>
        <v>TRO</v>
      </c>
      <c r="AL69" s="284" t="str">
        <f>IF(BS_CONTROLE[[#This Row],[Local - Encerramento]]=0, "-", BS_CONTROLE[[#This Row],[Local - Encerramento]])</f>
        <v>TGR2</v>
      </c>
      <c r="AM69" s="284" t="str">
        <f>IF(BS_CONTROLE[[#This Row],[Entre - Estações]]=0, "-", BS_CONTROLE[[#This Row],[Entre - Estações]])</f>
        <v>TSF-TEX</v>
      </c>
      <c r="AN69" s="284" t="str">
        <f>IF(BS_CONTROLE[[#This Row],[SB]]=0, "-", BS_CONTROLE[[#This Row],[SB]])</f>
        <v>TSF732</v>
      </c>
      <c r="AO69" s="285">
        <f>IF(BS_CONTROLE[[#This Row],[SUB]]=0, "-", BS_CONTROLE[[#This Row],[SUB]])</f>
        <v>98</v>
      </c>
      <c r="AP69" s="286">
        <f>IF(BS_CONTROLE[[#This Row],[KM - Inicio]]=0, "-", BS_CONTROLE[[#This Row],[KM - Inicio]])</f>
        <v>732</v>
      </c>
      <c r="AQ69" s="286">
        <f>IF(BS_CONTROLE[[#This Row],[KM - Fim]]=0, "-", BS_CONTROLE[[#This Row],[KM - Fim]])</f>
        <v>735</v>
      </c>
      <c r="AR69" s="38"/>
      <c r="AS69" s="38"/>
      <c r="AT69" s="38"/>
      <c r="AU69" s="38"/>
      <c r="AV69" s="38"/>
      <c r="AW69" s="38"/>
      <c r="AX69" s="38"/>
      <c r="AY69" s="319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VAGÕES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 hidden="1">
      <c r="A70" s="50" t="str">
        <f t="shared" si="6"/>
        <v>A8046028</v>
      </c>
      <c r="B70" s="171">
        <v>46028</v>
      </c>
      <c r="C70" s="8">
        <f>IF(BS_CONTROLE[[#This Row],[DATA]]="","",WEEKNUM(BS_CONTROLE[[#This Row],[DATA]]))</f>
        <v>2</v>
      </c>
      <c r="D70" s="51" t="s">
        <v>133</v>
      </c>
      <c r="E70" s="321">
        <v>65</v>
      </c>
      <c r="F70" s="172" t="s">
        <v>33</v>
      </c>
      <c r="G70" s="9" t="str">
        <f>IF(D70="","*",VLOOKUP(F70,BS_ATIVIDADE[#All],3,FALSE))</f>
        <v>DETECÇÃO</v>
      </c>
      <c r="H70" s="173" t="s">
        <v>1262</v>
      </c>
      <c r="I70" s="173" t="s">
        <v>393</v>
      </c>
      <c r="J70" s="217">
        <v>98</v>
      </c>
      <c r="K70" s="217">
        <v>502</v>
      </c>
      <c r="L70" s="83">
        <v>616</v>
      </c>
      <c r="M70" s="204" t="s">
        <v>1218</v>
      </c>
      <c r="N70" s="204" t="s">
        <v>1219</v>
      </c>
      <c r="O70" s="173">
        <v>0.375</v>
      </c>
      <c r="P70" s="173">
        <v>4.1666666666666664E-2</v>
      </c>
      <c r="Q70" s="83">
        <v>600</v>
      </c>
      <c r="R70" s="10" t="str">
        <f>IFERROR(_xlfn.XLOOKUP(F70, BS_ATIVIDADE[ATIVIDADE],BS_ATIVIDADE[UNIDADE] ), "*")</f>
        <v>KM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DETECÇÃO - RONDA 7 DIAS</v>
      </c>
      <c r="AJ70" s="9" t="str">
        <f>IF(D70="","*",VLOOKUP(AI70,BS_ATIVIDADE[#Data],3,FALSE))</f>
        <v>DETECÇÃO</v>
      </c>
      <c r="AK70" s="284" t="str">
        <f>IF(BS_CONTROLE[[#This Row],[Local - Partida]]=0, "-", BS_CONTROLE[[#This Row],[Local - Partida]])</f>
        <v>TAG</v>
      </c>
      <c r="AL70" s="284" t="str">
        <f>IF(BS_CONTROLE[[#This Row],[Local - Encerramento]]=0, "-", BS_CONTROLE[[#This Row],[Local - Encerramento]])</f>
        <v>TIQ</v>
      </c>
      <c r="AM70" s="284" t="str">
        <f>IF(BS_CONTROLE[[#This Row],[Entre - Estações]]=0, "-", BS_CONTROLE[[#This Row],[Entre - Estações]])</f>
        <v>TGR-TIQ</v>
      </c>
      <c r="AN70" s="284" t="str">
        <f>IF(BS_CONTROLE[[#This Row],[SB]]=0, "-", BS_CONTROLE[[#This Row],[SB]])</f>
        <v>TGRTIQ</v>
      </c>
      <c r="AO70" s="285">
        <f>IF(BS_CONTROLE[[#This Row],[SUB]]=0, "-", BS_CONTROLE[[#This Row],[SUB]])</f>
        <v>98</v>
      </c>
      <c r="AP70" s="286">
        <f>IF(BS_CONTROLE[[#This Row],[KM - Inicio]]=0, "-", BS_CONTROLE[[#This Row],[KM - Inicio]])</f>
        <v>502</v>
      </c>
      <c r="AQ70" s="286">
        <f>IF(BS_CONTROLE[[#This Row],[KM - Fim]]=0, "-", BS_CONTROLE[[#This Row],[KM - Fim]])</f>
        <v>616</v>
      </c>
      <c r="AR70" s="38"/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KM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7">D71&amp;B71</f>
        <v>ELSON (TF-526)46028</v>
      </c>
      <c r="B71" s="171">
        <v>46028</v>
      </c>
      <c r="C71" s="8">
        <f>IF(BS_CONTROLE[[#This Row],[DATA]]="","",WEEKNUM(BS_CONTROLE[[#This Row],[DATA]]))</f>
        <v>2</v>
      </c>
      <c r="D71" s="51" t="s">
        <v>288</v>
      </c>
      <c r="E71" s="320">
        <v>66</v>
      </c>
      <c r="F71" s="172" t="s">
        <v>194</v>
      </c>
      <c r="G71" s="9" t="str">
        <f>IF(D71="","*",VLOOKUP(F71,BS_ATIVIDADE[#All],3,FALSE))</f>
        <v>SOLDA</v>
      </c>
      <c r="H71" s="204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1" s="173" t="s">
        <v>11</v>
      </c>
      <c r="J71" s="217">
        <v>74</v>
      </c>
      <c r="K71" s="217">
        <v>436.2</v>
      </c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1" s="173">
        <v>0.375</v>
      </c>
      <c r="P71" s="173">
        <v>0.125</v>
      </c>
      <c r="Q71" s="83">
        <v>2</v>
      </c>
      <c r="R71" s="10" t="str">
        <f>IFERROR(_xlfn.XLOOKUP(F71, BS_ATIVIDADE[ATIVIDADE],BS_ATIVIDADE[UNIDADE] ), "*")</f>
        <v>Nº DE SOLDA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0" t="str">
        <f>IFERROR(_xlfn.XLOOKUP(J71, BASE_MAPA!$E$2:$E$359, BASE_MAPA!$J$2:$J$359), "ERRO")</f>
        <v>MARCO INICIAL - ALTO ARAGUAIA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PDM - SOLDA</v>
      </c>
      <c r="AJ71" s="9" t="str">
        <f>IF(D71="","*",VLOOKUP(AI71,BS_ATIVIDADE[#Data],3,FALSE))</f>
        <v>SOLDA</v>
      </c>
      <c r="AK71" s="284" t="str">
        <f>IF(BS_CONTROLE[[#This Row],[Local - Partida]]=0, "-", BS_CONTROLE[[#This Row],[Local - Partida]])</f>
        <v>TPC440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TPC-TVL</v>
      </c>
      <c r="AN71" s="284" t="str">
        <f>IF(BS_CONTROLE[[#This Row],[SB]]=0, "-", BS_CONTROLE[[#This Row],[SB]])</f>
        <v>TPC440</v>
      </c>
      <c r="AO71" s="285">
        <f>IF(BS_CONTROLE[[#This Row],[SUB]]=0, "-", BS_CONTROLE[[#This Row],[SUB]])</f>
        <v>74</v>
      </c>
      <c r="AP71" s="286">
        <f>IF(BS_CONTROLE[[#This Row],[KM - Inicio]]=0, "-", BS_CONTROLE[[#This Row],[KM - Inicio]])</f>
        <v>436.2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Nº DE SOLDA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Produção e Intervalo</v>
      </c>
      <c r="BR71" s="18">
        <f t="shared" ref="BR71:BR100" si="9">IF(OR(B71="",F71=""),"*",AY71/P71)</f>
        <v>0</v>
      </c>
      <c r="BS71" s="18">
        <f t="shared" ref="BS71:BS100" si="10">IF(OR(B71="",F71=""),"*",BA71/Q71)</f>
        <v>0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>E4646028</v>
      </c>
      <c r="B72" s="171">
        <v>46028</v>
      </c>
      <c r="C72" s="8">
        <f>IF(BS_CONTROLE[[#This Row],[DATA]]="","",WEEKNUM(BS_CONTROLE[[#This Row],[DATA]]))</f>
        <v>2</v>
      </c>
      <c r="D72" s="51" t="s">
        <v>159</v>
      </c>
      <c r="E72" s="320">
        <v>67</v>
      </c>
      <c r="F72" s="172" t="s">
        <v>79</v>
      </c>
      <c r="G72" s="9" t="str">
        <f>IF(D72="","*",VLOOKUP(F72,BS_ATIVIDADE[#All],3,FALSE))</f>
        <v>TRILHEIRO - DESCARGA</v>
      </c>
      <c r="H72" s="173" t="s">
        <v>870</v>
      </c>
      <c r="I72" s="173" t="s">
        <v>870</v>
      </c>
      <c r="J72" s="217">
        <v>98</v>
      </c>
      <c r="K72" s="217">
        <v>249.26599999999999</v>
      </c>
      <c r="L72" s="83">
        <v>246.00700000000001</v>
      </c>
      <c r="M72" s="204" t="s">
        <v>599</v>
      </c>
      <c r="N72" s="204" t="s">
        <v>1278</v>
      </c>
      <c r="O72" s="173">
        <v>0.39583333333333331</v>
      </c>
      <c r="P72" s="173">
        <v>0.16666666666666666</v>
      </c>
      <c r="Q72" s="83">
        <v>6240</v>
      </c>
      <c r="R72" s="10" t="str">
        <f>IFERROR(_xlfn.XLOOKUP(F72, BS_ATIVIDADE[ATIVIDADE],BS_ATIVIDADE[UNIDADE] ), "*")</f>
        <v>M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ALTO ARAGUAIA - RONDONOPOLIS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TRILHEIRO - DESCARGA</v>
      </c>
      <c r="AJ72" s="9" t="str">
        <f>IF(D72="","*",VLOOKUP(AI72,BS_ATIVIDADE[#Data],3,FALSE))</f>
        <v>TRILHEIRO - DESCARGA</v>
      </c>
      <c r="AK72" s="284" t="str">
        <f>IF(BS_CONTROLE[[#This Row],[Local - Partida]]=0, "-", BS_CONTROLE[[#This Row],[Local - Partida]])</f>
        <v>TRC</v>
      </c>
      <c r="AL72" s="284" t="str">
        <f>IF(BS_CONTROLE[[#This Row],[Local - Encerramento]]=0, "-", BS_CONTROLE[[#This Row],[Local - Encerramento]])</f>
        <v>TRC</v>
      </c>
      <c r="AM72" s="284" t="str">
        <f>IF(BS_CONTROLE[[#This Row],[Entre - Estações]]=0, "-", BS_CONTROLE[[#This Row],[Entre - Estações]])</f>
        <v>TVI-TJA</v>
      </c>
      <c r="AN72" s="284" t="str">
        <f>IF(BS_CONTROLE[[#This Row],[SB]]=0, "-", BS_CONTROLE[[#This Row],[SB]])</f>
        <v>TVITJA</v>
      </c>
      <c r="AO72" s="285">
        <f>IF(BS_CONTROLE[[#This Row],[SUB]]=0, "-", BS_CONTROLE[[#This Row],[SUB]])</f>
        <v>98</v>
      </c>
      <c r="AP72" s="286">
        <f>IF(BS_CONTROLE[[#This Row],[KM - Inicio]]=0, "-", BS_CONTROLE[[#This Row],[KM - Inicio]])</f>
        <v>249.26599999999999</v>
      </c>
      <c r="AQ72" s="286">
        <f>IF(BS_CONTROLE[[#This Row],[KM - Fim]]=0, "-", BS_CONTROLE[[#This Row],[KM - Fim]])</f>
        <v>246.00700000000001</v>
      </c>
      <c r="AR72" s="38"/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M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ALTO ARAGUAIA - RONDONOPOLIS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Produção e Intervalo</v>
      </c>
      <c r="BR72" s="18">
        <f t="shared" si="9"/>
        <v>0</v>
      </c>
      <c r="BS72" s="18">
        <f t="shared" si="10"/>
        <v>0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>TP-49246028</v>
      </c>
      <c r="B74" s="171">
        <v>46028</v>
      </c>
      <c r="C74" s="8">
        <f>IF(BS_CONTROLE[[#This Row],[DATA]]="","",WEEKNUM(BS_CONTROLE[[#This Row],[DATA]]))</f>
        <v>2</v>
      </c>
      <c r="D74" s="51" t="s">
        <v>1279</v>
      </c>
      <c r="E74" s="320">
        <v>69</v>
      </c>
      <c r="F74" s="172" t="s">
        <v>181</v>
      </c>
      <c r="G74" s="9" t="str">
        <f>IF(D74="","*",VLOOKUP(F74,BS_ATIVIDADE[#All],3,FALSE))</f>
        <v>DORMENTE - PONTE</v>
      </c>
      <c r="H74" s="204" t="str" cm="1">
        <f t="array" ref="H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4" s="173" t="s">
        <v>11</v>
      </c>
      <c r="J74" s="217">
        <v>74</v>
      </c>
      <c r="K74" s="217">
        <v>343.33499999999998</v>
      </c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4" s="173">
        <v>0.375</v>
      </c>
      <c r="P74" s="173">
        <v>0.25</v>
      </c>
      <c r="Q74" s="83">
        <v>20</v>
      </c>
      <c r="R74" s="10" t="str">
        <f>IFERROR(_xlfn.XLOOKUP(F74, BS_ATIVIDADE[ATIVIDADE],BS_ATIVIDADE[UNIDADE] ), "*")</f>
        <v>M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4" s="80" t="str">
        <f>IFERROR(_xlfn.XLOOKUP(J74, BASE_MAPA!$E$2:$E$359, BASE_MAPA!$J$2:$J$359), "ERRO")</f>
        <v>MARCO INICIAL - ALTO ARAGUAIA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PDM - DORMENTE - PONTE</v>
      </c>
      <c r="AJ74" s="9" t="str">
        <f>IF(D74="","*",VLOOKUP(AI74,BS_ATIVIDADE[#Data],3,FALSE))</f>
        <v>DORMENTE - PONTE</v>
      </c>
      <c r="AK74" s="284" t="str">
        <f>IF(BS_CONTROLE[[#This Row],[Local - Partida]]=0, "-", BS_CONTROLE[[#This Row],[Local - Partida]])</f>
        <v>TLA350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TLA-TSE</v>
      </c>
      <c r="AN74" s="284" t="str">
        <f>IF(BS_CONTROLE[[#This Row],[SB]]=0, "-", BS_CONTROLE[[#This Row],[SB]])</f>
        <v>TLA350</v>
      </c>
      <c r="AO74" s="285">
        <f>IF(BS_CONTROLE[[#This Row],[SUB]]=0, "-", BS_CONTROLE[[#This Row],[SUB]])</f>
        <v>74</v>
      </c>
      <c r="AP74" s="286">
        <f>IF(BS_CONTROLE[[#This Row],[KM - Inicio]]=0, "-", BS_CONTROLE[[#This Row],[KM - Inicio]])</f>
        <v>343.33499999999998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4" s="11" t="str">
        <f>IFERROR(_xlfn.XLOOKUP(AO74, BASE_MAPA!$E$2:$E$359, BASE_MAPA!$J$2:$J$359), "ERRO")</f>
        <v>MARCO INICIAL - ALTO ARAGUAIA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Produção e Intervalo</v>
      </c>
      <c r="BR74" s="18">
        <f t="shared" si="9"/>
        <v>0</v>
      </c>
      <c r="BS74" s="18">
        <f t="shared" si="10"/>
        <v>0</v>
      </c>
      <c r="BT74" s="225" t="str">
        <f t="shared" si="11"/>
        <v/>
      </c>
    </row>
    <row r="75" spans="1:72" hidden="1">
      <c r="A75" s="50" t="str">
        <f t="shared" si="7"/>
        <v>A6046028</v>
      </c>
      <c r="B75" s="171">
        <v>46028</v>
      </c>
      <c r="C75" s="8">
        <f>IF(BS_CONTROLE[[#This Row],[DATA]]="","",WEEKNUM(BS_CONTROLE[[#This Row],[DATA]]))</f>
        <v>2</v>
      </c>
      <c r="D75" s="51" t="s">
        <v>107</v>
      </c>
      <c r="E75" s="320">
        <v>70</v>
      </c>
      <c r="F75" s="172" t="s">
        <v>33</v>
      </c>
      <c r="G75" s="9" t="str">
        <f>IF(D75="","*",VLOOKUP(F75,BS_ATIVIDADE[#All],3,FALSE))</f>
        <v>DETECÇÃO</v>
      </c>
      <c r="H75" s="173" t="s">
        <v>608</v>
      </c>
      <c r="I75" s="173" t="s">
        <v>1262</v>
      </c>
      <c r="J75" s="217">
        <v>74</v>
      </c>
      <c r="K75" s="217">
        <v>291.32499999999999</v>
      </c>
      <c r="L75" s="83"/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5" s="173"/>
      <c r="P75" s="173"/>
      <c r="Q75" s="83"/>
      <c r="R75" s="10" t="str">
        <f>IFERROR(_xlfn.XLOOKUP(F75, BS_ATIVIDADE[ATIVIDADE],BS_ATIVIDADE[UNIDADE] ), "*")</f>
        <v>KM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DETECÇÃO - RONDA 7 DIAS</v>
      </c>
      <c r="AJ75" s="9" t="str">
        <f>IF(D75="","*",VLOOKUP(AI75,BS_ATIVIDADE[#Data],3,FALSE))</f>
        <v>DETECÇÃO</v>
      </c>
      <c r="AK75" s="284" t="str">
        <f>IF(BS_CONTROLE[[#This Row],[Local - Partida]]=0, "-", BS_CONTROLE[[#This Row],[Local - Partida]])</f>
        <v>TCS</v>
      </c>
      <c r="AL75" s="284" t="str">
        <f>IF(BS_CONTROLE[[#This Row],[Local - Encerramento]]=0, "-", BS_CONTROLE[[#This Row],[Local - Encerramento]])</f>
        <v>TAG</v>
      </c>
      <c r="AM75" s="284" t="str">
        <f>IF(BS_CONTROLE[[#This Row],[Entre - Estações]]=0, "-", BS_CONTROLE[[#This Row],[Entre - Estações]])</f>
        <v>TRC</v>
      </c>
      <c r="AN75" s="284" t="str">
        <f>IF(BS_CONTROLE[[#This Row],[SB]]=0, "-", BS_CONTROLE[[#This Row],[SB]])</f>
        <v>291TRC1</v>
      </c>
      <c r="AO75" s="285">
        <f>IF(BS_CONTROLE[[#This Row],[SUB]]=0, "-", BS_CONTROLE[[#This Row],[SUB]])</f>
        <v>74</v>
      </c>
      <c r="AP75" s="286">
        <f>IF(BS_CONTROLE[[#This Row],[KM - Inicio]]=0, "-", BS_CONTROLE[[#This Row],[KM - Inicio]])</f>
        <v>291.32499999999999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KM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e">
        <f t="shared" si="8"/>
        <v>#DIV/0!</v>
      </c>
      <c r="BR75" s="18" t="e">
        <f t="shared" si="9"/>
        <v>#DIV/0!</v>
      </c>
      <c r="BS75" s="18" t="e">
        <f t="shared" si="10"/>
        <v>#DIV/0!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>W5046028</v>
      </c>
      <c r="B77" s="171">
        <v>46028</v>
      </c>
      <c r="C77" s="8">
        <f>IF(BS_CONTROLE[[#This Row],[DATA]]="","",WEEKNUM(BS_CONTROLE[[#This Row],[DATA]]))</f>
        <v>2</v>
      </c>
      <c r="D77" s="51" t="s">
        <v>230</v>
      </c>
      <c r="E77" s="320"/>
      <c r="F77" s="172" t="s">
        <v>134</v>
      </c>
      <c r="G77" s="9" t="str">
        <f>IF(D77="","*",VLOOKUP(F77,BS_ATIVIDADE[#All],3,FALSE))</f>
        <v>MODERNIZAÇÃO</v>
      </c>
      <c r="H77" s="173" t="s">
        <v>610</v>
      </c>
      <c r="I77" s="173" t="s">
        <v>610</v>
      </c>
      <c r="J77" s="217">
        <v>74</v>
      </c>
      <c r="K77" s="217">
        <v>215</v>
      </c>
      <c r="L77" s="83">
        <v>213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7" s="173">
        <v>0.39583333333333331</v>
      </c>
      <c r="P77" s="173">
        <v>8.3333333333333329E-2</v>
      </c>
      <c r="Q77" s="83"/>
      <c r="R77" s="10" t="str">
        <f>IFERROR(_xlfn.XLOOKUP(F77, BS_ATIVIDADE[ATIVIDADE],BS_ATIVIDADE[UNIDADE] ), "*")</f>
        <v>Nº DE DORMENTES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0" t="str">
        <f>IFERROR(_xlfn.XLOOKUP(J77, BASE_MAPA!$E$2:$E$359, BASE_MAPA!$J$2:$J$359), "ERRO")</f>
        <v>MARCO INICIAL - ALTO ARAGUAIA</v>
      </c>
      <c r="V77" s="198" t="s">
        <v>1280</v>
      </c>
      <c r="W77" s="173" t="s">
        <v>1281</v>
      </c>
      <c r="X77" s="218" t="s">
        <v>957</v>
      </c>
      <c r="Y77" s="158"/>
      <c r="Z77" s="158"/>
      <c r="AA77" s="83">
        <v>2</v>
      </c>
      <c r="AB77" s="70" t="s">
        <v>954</v>
      </c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MODERNIZAÇÃO - DORMENTE - DESCARGA</v>
      </c>
      <c r="AJ77" s="9" t="str">
        <f>IF(D77="","*",VLOOKUP(AI77,BS_ATIVIDADE[#Data],3,FALSE))</f>
        <v>MODERNIZAÇÃO</v>
      </c>
      <c r="AK77" s="284" t="str">
        <f>IF(BS_CONTROLE[[#This Row],[Local - Partida]]=0, "-", BS_CONTROLE[[#This Row],[Local - Partida]])</f>
        <v>TCS2</v>
      </c>
      <c r="AL77" s="284" t="str">
        <f>IF(BS_CONTROLE[[#This Row],[Local - Encerramento]]=0, "-", BS_CONTROLE[[#This Row],[Local - Encerramento]])</f>
        <v>TCS2</v>
      </c>
      <c r="AM77" s="284" t="str">
        <f>IF(BS_CONTROLE[[#This Row],[Entre - Estações]]=0, "-", BS_CONTROLE[[#This Row],[Entre - Estações]])</f>
        <v>TID-TVI</v>
      </c>
      <c r="AN77" s="284" t="str">
        <f>IF(BS_CONTROLE[[#This Row],[SB]]=0, "-", BS_CONTROLE[[#This Row],[SB]])</f>
        <v>213TVI</v>
      </c>
      <c r="AO77" s="285">
        <f>IF(BS_CONTROLE[[#This Row],[SUB]]=0, "-", BS_CONTROLE[[#This Row],[SUB]])</f>
        <v>74</v>
      </c>
      <c r="AP77" s="286">
        <f>IF(BS_CONTROLE[[#This Row],[KM - Inicio]]=0, "-", BS_CONTROLE[[#This Row],[KM - Inicio]])</f>
        <v>215</v>
      </c>
      <c r="AQ77" s="286">
        <f>IF(BS_CONTROLE[[#This Row],[KM - Fim]]=0, "-", BS_CONTROLE[[#This Row],[KM - Fim]])</f>
        <v>213</v>
      </c>
      <c r="AR77" s="38"/>
      <c r="AS77" s="38"/>
      <c r="AT77" s="38"/>
      <c r="AU77" s="38"/>
      <c r="AV77" s="38"/>
      <c r="AW77" s="38"/>
      <c r="AX77" s="38"/>
      <c r="AY77" s="319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Nº DE DORMENTES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7" t="str">
        <f>IF(BS_CONTROLE[[#This Row],[Responsavel pelo boletim]]=0, "-", BS_CONTROLE[[#This Row],[Responsavel pelo boletim]])</f>
        <v>Augusto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e">
        <f t="shared" si="8"/>
        <v>#DIV/0!</v>
      </c>
      <c r="BR77" s="18">
        <f t="shared" si="9"/>
        <v>0</v>
      </c>
      <c r="BS77" s="18" t="e">
        <f t="shared" si="10"/>
        <v>#DIV/0!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>V4246028</v>
      </c>
      <c r="B79" s="171">
        <v>46028</v>
      </c>
      <c r="C79" s="8">
        <f>IF(BS_CONTROLE[[#This Row],[DATA]]="","",WEEKNUM(BS_CONTROLE[[#This Row],[DATA]]))</f>
        <v>2</v>
      </c>
      <c r="D79" s="51" t="s">
        <v>180</v>
      </c>
      <c r="E79" s="320">
        <v>74</v>
      </c>
      <c r="F79" s="172" t="s">
        <v>143</v>
      </c>
      <c r="G79" s="9" t="str">
        <f>IF(D79="","*",VLOOKUP(F79,BS_ATIVIDADE[#All],3,FALSE))</f>
        <v>MODERNIZAÇÃO</v>
      </c>
      <c r="H79" s="173" t="s">
        <v>740</v>
      </c>
      <c r="I79" s="173" t="s">
        <v>740</v>
      </c>
      <c r="J79" s="217">
        <v>72</v>
      </c>
      <c r="K79" s="217">
        <v>286.39999999999998</v>
      </c>
      <c r="L79" s="83">
        <v>287.39999999999998</v>
      </c>
      <c r="M79" s="204" t="s">
        <v>734</v>
      </c>
      <c r="N79" s="204" t="s">
        <v>735</v>
      </c>
      <c r="O79" s="173">
        <v>0.29166666666666669</v>
      </c>
      <c r="P79" s="173">
        <v>8.3333333333333329E-2</v>
      </c>
      <c r="Q79" s="83">
        <v>400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80" t="str">
        <f>IFERROR(_xlfn.XLOOKUP(J79, BASE_MAPA!$E$2:$E$359, BASE_MAPA!$J$2:$J$359), "ERRO")</f>
        <v>ARARAQUARA - COLOMBIA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MODERNIZAÇÃO - SOCADORA</v>
      </c>
      <c r="AJ79" s="9" t="str">
        <f>IF(D79="","*",VLOOKUP(AI79,BS_ATIVIDADE[#Data],3,FALSE))</f>
        <v>MODERNIZAÇÃO</v>
      </c>
      <c r="AK79" s="284" t="str">
        <f>IF(BS_CONTROLE[[#This Row],[Local - Partida]]=0, "-", BS_CONTROLE[[#This Row],[Local - Partida]])</f>
        <v>ZGT1</v>
      </c>
      <c r="AL79" s="284" t="str">
        <f>IF(BS_CONTROLE[[#This Row],[Local - Encerramento]]=0, "-", BS_CONTROLE[[#This Row],[Local - Encerramento]])</f>
        <v>ZGT1</v>
      </c>
      <c r="AM79" s="284" t="str">
        <f>IF(BS_CONTROLE[[#This Row],[Entre - Estações]]=0, "-", BS_CONTROLE[[#This Row],[Entre - Estações]])</f>
        <v>ZRI</v>
      </c>
      <c r="AN79" s="284" t="str">
        <f>IF(BS_CONTROLE[[#This Row],[SB]]=0, "-", BS_CONTROLE[[#This Row],[SB]])</f>
        <v>ZRI1</v>
      </c>
      <c r="AO79" s="285">
        <f>IF(BS_CONTROLE[[#This Row],[SUB]]=0, "-", BS_CONTROLE[[#This Row],[SUB]])</f>
        <v>72</v>
      </c>
      <c r="AP79" s="286">
        <f>IF(BS_CONTROLE[[#This Row],[KM - Inicio]]=0, "-", BS_CONTROLE[[#This Row],[KM - Inicio]])</f>
        <v>286.39999999999998</v>
      </c>
      <c r="AQ79" s="286">
        <f>IF(BS_CONTROLE[[#This Row],[KM - Fim]]=0, "-", BS_CONTROLE[[#This Row],[KM - Fim]])</f>
        <v>287.39999999999998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11" t="str">
        <f>IFERROR(_xlfn.XLOOKUP(AO79, BASE_MAPA!$E$2:$E$359, BASE_MAPA!$J$2:$J$359), "ERRO")</f>
        <v>ARARAQUARA - COLOMBIA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Produção e Intervalo</v>
      </c>
      <c r="BR79" s="18">
        <f t="shared" si="9"/>
        <v>0</v>
      </c>
      <c r="BS79" s="18">
        <f t="shared" si="10"/>
        <v>0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>E4046028</v>
      </c>
      <c r="B81" s="171">
        <v>46028</v>
      </c>
      <c r="C81" s="8">
        <f>IF(BS_CONTROLE[[#This Row],[DATA]]="","",WEEKNUM(BS_CONTROLE[[#This Row],[DATA]]))</f>
        <v>2</v>
      </c>
      <c r="D81" s="51" t="s">
        <v>154</v>
      </c>
      <c r="E81" s="320">
        <v>76</v>
      </c>
      <c r="F81" s="172" t="s">
        <v>25</v>
      </c>
      <c r="G81" s="9" t="str">
        <f>IF(D81="","*",VLOOKUP(F81,BS_ATIVIDADE[#All],3,FALSE))</f>
        <v>OUTROS</v>
      </c>
      <c r="H81" s="173"/>
      <c r="I81" s="173"/>
      <c r="J81" s="217"/>
      <c r="K81" s="217"/>
      <c r="L81" s="83" t="s">
        <v>11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BINÁRIO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e">
        <f t="shared" si="8"/>
        <v>#DIV/0!</v>
      </c>
      <c r="BR81" s="18" t="e">
        <f t="shared" si="9"/>
        <v>#DIV/0!</v>
      </c>
      <c r="BS81" s="18" t="e">
        <f t="shared" si="10"/>
        <v>#DIV/0!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553:AY599">
    <cfRule type="cellIs" dxfId="140" priority="18371" operator="equal">
      <formula>"ERRO"</formula>
    </cfRule>
  </conditionalFormatting>
  <conditionalFormatting sqref="X4 Y475:Y550 Y1:Z474">
    <cfRule type="cellIs" dxfId="139" priority="18360" operator="equal">
      <formula>"OPORTUNIDADE"</formula>
    </cfRule>
  </conditionalFormatting>
  <conditionalFormatting sqref="AZ6:AZ522">
    <cfRule type="expression" dxfId="138" priority="18355">
      <formula>$BU6=1</formula>
    </cfRule>
  </conditionalFormatting>
  <conditionalFormatting sqref="BQ6:BQ599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2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5:X522 Y475:Y550 Y6:Z474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5:X522">
    <cfRule type="cellIs" dxfId="127" priority="18295" operator="equal">
      <formula>"OPORTUNIDADE"</formula>
    </cfRule>
  </conditionalFormatting>
  <conditionalFormatting sqref="Z475:Z522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5:Z522">
    <cfRule type="cellIs" dxfId="124" priority="18292" operator="equal">
      <formula>"OPORTUNIDADE"</formula>
    </cfRule>
  </conditionalFormatting>
  <conditionalFormatting sqref="Y1048575:Y1048576">
    <cfRule type="cellIs" dxfId="123" priority="18177" operator="equal">
      <formula>"OPORTUNIDADE"</formula>
    </cfRule>
  </conditionalFormatting>
  <conditionalFormatting sqref="Y1048575: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3:Z548">
    <cfRule type="cellIs" dxfId="120" priority="17912" operator="equal">
      <formula>"OPORTUNIDADE"</formula>
    </cfRule>
  </conditionalFormatting>
  <conditionalFormatting sqref="Z523:Z548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49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49">
    <cfRule type="cellIs" dxfId="115" priority="17897" operator="equal">
      <formula>"OPORTUNIDADE"</formula>
    </cfRule>
  </conditionalFormatting>
  <conditionalFormatting sqref="Z549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49">
    <cfRule type="cellIs" dxfId="112" priority="17894" operator="equal">
      <formula>"OPORTUNIDADE"</formula>
    </cfRule>
  </conditionalFormatting>
  <conditionalFormatting sqref="BI549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14">
      <formula>$BU492=1</formula>
    </cfRule>
  </conditionalFormatting>
  <conditionalFormatting sqref="AZ525:AZ549">
    <cfRule type="expression" dxfId="110" priority="18674">
      <formula>$BU497=1</formula>
    </cfRule>
  </conditionalFormatting>
  <conditionalFormatting sqref="BI523:BI548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2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599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599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57" t="s">
        <v>1282</v>
      </c>
      <c r="D1" s="357"/>
      <c r="E1" s="357"/>
      <c r="F1" s="357"/>
      <c r="G1" s="357"/>
      <c r="H1" s="357"/>
    </row>
    <row r="2" spans="3:8">
      <c r="C2" s="357"/>
      <c r="D2" s="357"/>
      <c r="E2" s="357"/>
      <c r="F2" s="357"/>
      <c r="G2" s="357"/>
      <c r="H2" s="357"/>
    </row>
    <row r="3" spans="3:8">
      <c r="C3" s="322" t="s">
        <v>105</v>
      </c>
      <c r="D3" s="322" t="s">
        <v>1283</v>
      </c>
      <c r="E3" s="322" t="s">
        <v>1284</v>
      </c>
      <c r="F3" s="322" t="s">
        <v>1285</v>
      </c>
      <c r="G3" s="322" t="s">
        <v>1286</v>
      </c>
      <c r="H3" s="322" t="s">
        <v>1287</v>
      </c>
    </row>
    <row r="4" spans="3:8">
      <c r="C4" s="323" t="s">
        <v>230</v>
      </c>
      <c r="D4" s="323">
        <v>9322</v>
      </c>
      <c r="E4" s="324">
        <v>46000</v>
      </c>
      <c r="F4" s="323">
        <v>9000</v>
      </c>
      <c r="G4" s="323"/>
      <c r="H4" s="323"/>
    </row>
    <row r="5" spans="3:8">
      <c r="C5" s="323" t="s">
        <v>230</v>
      </c>
      <c r="D5" s="323">
        <v>7671</v>
      </c>
      <c r="E5" s="324">
        <v>46000</v>
      </c>
      <c r="F5" s="323">
        <v>9000</v>
      </c>
      <c r="G5" s="323"/>
      <c r="H5" s="323"/>
    </row>
    <row r="6" spans="3:8">
      <c r="C6" s="323" t="s">
        <v>230</v>
      </c>
      <c r="D6" s="323">
        <v>7672</v>
      </c>
      <c r="E6" s="324">
        <v>46000</v>
      </c>
      <c r="F6" s="325" t="s">
        <v>1288</v>
      </c>
      <c r="G6" s="323"/>
      <c r="H6" s="323"/>
    </row>
    <row r="7" spans="3:8">
      <c r="C7" s="323" t="s">
        <v>239</v>
      </c>
      <c r="D7" s="323">
        <v>7632</v>
      </c>
      <c r="E7" s="324">
        <v>45996</v>
      </c>
      <c r="F7" s="326" t="s">
        <v>1289</v>
      </c>
      <c r="G7" s="323"/>
      <c r="H7" s="323"/>
    </row>
    <row r="8" spans="3:8">
      <c r="C8" s="323" t="s">
        <v>239</v>
      </c>
      <c r="D8" s="323">
        <v>9414</v>
      </c>
      <c r="E8" s="324">
        <v>45996</v>
      </c>
      <c r="F8" s="323">
        <v>5500</v>
      </c>
      <c r="G8" s="323"/>
      <c r="H8" s="323"/>
    </row>
    <row r="9" spans="3:8">
      <c r="C9" s="323"/>
      <c r="D9" s="323"/>
      <c r="E9" s="323"/>
      <c r="F9" s="323"/>
      <c r="G9" s="323"/>
      <c r="H9" s="323"/>
    </row>
    <row r="10" spans="3:8">
      <c r="C10" s="323"/>
      <c r="D10" s="323"/>
      <c r="E10" s="323"/>
      <c r="F10" s="323"/>
      <c r="G10" s="323"/>
      <c r="H10" s="323"/>
    </row>
    <row r="11" spans="3:8">
      <c r="C11" s="323"/>
      <c r="D11" s="323"/>
      <c r="E11" s="323"/>
      <c r="F11" s="323"/>
      <c r="G11" s="323"/>
      <c r="H11" s="323"/>
    </row>
    <row r="12" spans="3:8">
      <c r="C12" s="323"/>
      <c r="D12" s="323"/>
      <c r="E12" s="323"/>
      <c r="F12" s="323"/>
      <c r="G12" s="323"/>
      <c r="H12" s="323"/>
    </row>
    <row r="13" spans="3:8">
      <c r="C13" s="323"/>
      <c r="D13" s="323"/>
      <c r="E13" s="323"/>
      <c r="F13" s="323"/>
      <c r="G13" s="323"/>
      <c r="H13" s="323"/>
    </row>
    <row r="14" spans="3:8">
      <c r="C14" s="323"/>
      <c r="D14" s="323"/>
      <c r="E14" s="323"/>
      <c r="F14" s="323"/>
      <c r="G14" s="323"/>
      <c r="H14" s="323"/>
    </row>
    <row r="15" spans="3:8">
      <c r="C15" s="323"/>
      <c r="D15" s="323"/>
      <c r="E15" s="323"/>
      <c r="F15" s="323"/>
      <c r="G15" s="323"/>
      <c r="H15" s="323"/>
    </row>
    <row r="16" spans="3:8">
      <c r="C16" s="323"/>
      <c r="D16" s="323"/>
      <c r="E16" s="323"/>
      <c r="F16" s="323"/>
      <c r="G16" s="323"/>
      <c r="H16" s="323"/>
    </row>
    <row r="17" spans="3:8">
      <c r="C17" s="323"/>
      <c r="D17" s="323"/>
      <c r="E17" s="323"/>
      <c r="F17" s="323"/>
      <c r="G17" s="323"/>
      <c r="H17" s="323"/>
    </row>
    <row r="18" spans="3:8">
      <c r="C18" s="323"/>
      <c r="D18" s="323"/>
      <c r="E18" s="323"/>
      <c r="F18" s="323"/>
      <c r="G18" s="323"/>
      <c r="H18" s="323"/>
    </row>
    <row r="19" spans="3:8">
      <c r="C19" s="323"/>
      <c r="D19" s="323"/>
      <c r="E19" s="323"/>
      <c r="F19" s="323"/>
      <c r="G19" s="323"/>
      <c r="H19" s="323"/>
    </row>
    <row r="20" spans="3:8">
      <c r="C20" s="323"/>
      <c r="D20" s="323"/>
      <c r="E20" s="323"/>
      <c r="F20" s="323"/>
      <c r="G20" s="323"/>
      <c r="H20" s="323"/>
    </row>
    <row r="21" spans="3:8">
      <c r="C21" s="323"/>
      <c r="D21" s="323"/>
      <c r="E21" s="323"/>
      <c r="F21" s="323"/>
      <c r="G21" s="323"/>
      <c r="H21" s="323"/>
    </row>
    <row r="22" spans="3:8">
      <c r="C22" s="323"/>
      <c r="D22" s="323"/>
      <c r="E22" s="323"/>
      <c r="F22" s="323"/>
      <c r="G22" s="323"/>
      <c r="H22" s="323"/>
    </row>
    <row r="23" spans="3:8">
      <c r="C23" s="323"/>
      <c r="D23" s="323"/>
      <c r="E23" s="323"/>
      <c r="F23" s="323"/>
      <c r="G23" s="323"/>
      <c r="H23" s="323"/>
    </row>
    <row r="24" spans="3:8">
      <c r="C24" s="323"/>
      <c r="D24" s="323"/>
      <c r="E24" s="323"/>
      <c r="F24" s="323"/>
      <c r="G24" s="323"/>
      <c r="H24" s="323"/>
    </row>
    <row r="25" spans="3:8">
      <c r="C25" s="323"/>
      <c r="D25" s="323"/>
      <c r="E25" s="323"/>
      <c r="F25" s="323"/>
      <c r="G25" s="323"/>
      <c r="H25" s="323"/>
    </row>
    <row r="26" spans="3:8">
      <c r="C26" s="323"/>
      <c r="D26" s="323"/>
      <c r="E26" s="323"/>
      <c r="F26" s="323"/>
      <c r="G26" s="323"/>
      <c r="H26" s="323"/>
    </row>
    <row r="27" spans="3:8">
      <c r="C27" s="323"/>
      <c r="D27" s="323"/>
      <c r="E27" s="323"/>
      <c r="F27" s="323"/>
      <c r="G27" s="323"/>
      <c r="H27" s="323"/>
    </row>
    <row r="28" spans="3:8">
      <c r="C28" s="323"/>
      <c r="D28" s="323"/>
      <c r="E28" s="323"/>
      <c r="F28" s="323"/>
      <c r="G28" s="323"/>
      <c r="H28" s="323"/>
    </row>
    <row r="29" spans="3:8">
      <c r="C29" s="323"/>
      <c r="D29" s="323"/>
      <c r="E29" s="323"/>
      <c r="F29" s="323"/>
      <c r="G29" s="323"/>
      <c r="H29" s="323"/>
    </row>
    <row r="30" spans="3:8">
      <c r="C30" s="323"/>
      <c r="D30" s="323"/>
      <c r="E30" s="323"/>
      <c r="F30" s="323"/>
      <c r="G30" s="323"/>
      <c r="H30" s="323"/>
    </row>
    <row r="31" spans="3:8">
      <c r="C31" s="323"/>
      <c r="D31" s="323"/>
      <c r="E31" s="323"/>
      <c r="F31" s="323"/>
      <c r="G31" s="323"/>
      <c r="H31" s="32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>
      <c r="A2" s="192"/>
      <c r="B2" s="358" t="s">
        <v>1290</v>
      </c>
      <c r="C2" s="358"/>
      <c r="D2" s="358"/>
      <c r="E2" s="358"/>
      <c r="F2" s="358"/>
      <c r="G2" s="358"/>
      <c r="H2" s="192"/>
    </row>
    <row r="3" spans="1:8">
      <c r="A3" s="192"/>
      <c r="B3" s="359"/>
      <c r="C3" s="359"/>
      <c r="D3" s="359"/>
      <c r="E3" s="359"/>
      <c r="F3" s="359"/>
      <c r="G3" s="359"/>
      <c r="H3" s="192"/>
    </row>
    <row r="4" spans="1:8" ht="40.5">
      <c r="A4" s="192"/>
      <c r="B4" s="327" t="s">
        <v>1291</v>
      </c>
      <c r="C4" s="327" t="s">
        <v>1292</v>
      </c>
      <c r="D4" s="327" t="s">
        <v>1293</v>
      </c>
      <c r="E4" s="327" t="s">
        <v>1294</v>
      </c>
      <c r="F4" s="327" t="s">
        <v>351</v>
      </c>
      <c r="G4" s="327" t="s">
        <v>1295</v>
      </c>
      <c r="H4" s="192"/>
    </row>
    <row r="5" spans="1:8" ht="43.5">
      <c r="A5" s="192"/>
      <c r="B5" s="328" t="s">
        <v>1296</v>
      </c>
      <c r="C5" s="328">
        <v>309525</v>
      </c>
      <c r="D5" s="328" t="s">
        <v>1297</v>
      </c>
      <c r="E5" s="328" t="s">
        <v>239</v>
      </c>
      <c r="F5" s="328" t="s">
        <v>1298</v>
      </c>
      <c r="G5" s="329">
        <v>46296</v>
      </c>
      <c r="H5" s="192"/>
    </row>
    <row r="6" spans="1:8" ht="43.5">
      <c r="A6" s="192"/>
      <c r="B6" s="328" t="s">
        <v>1299</v>
      </c>
      <c r="C6" s="328">
        <v>256875</v>
      </c>
      <c r="D6" s="328" t="s">
        <v>1300</v>
      </c>
      <c r="E6" s="328" t="s">
        <v>239</v>
      </c>
      <c r="F6" s="328" t="s">
        <v>1298</v>
      </c>
      <c r="G6" s="329">
        <v>46296</v>
      </c>
      <c r="H6" s="192"/>
    </row>
    <row r="7" spans="1:8" ht="43.5">
      <c r="A7" s="192"/>
      <c r="B7" s="328" t="s">
        <v>1301</v>
      </c>
      <c r="C7" s="328">
        <v>257278</v>
      </c>
      <c r="D7" s="328" t="s">
        <v>1302</v>
      </c>
      <c r="E7" s="328" t="s">
        <v>230</v>
      </c>
      <c r="F7" s="328" t="s">
        <v>1303</v>
      </c>
      <c r="G7" s="329">
        <v>46235</v>
      </c>
      <c r="H7" s="192"/>
    </row>
    <row r="8" spans="1:8" ht="43.5">
      <c r="A8" s="192"/>
      <c r="B8" s="328" t="s">
        <v>1304</v>
      </c>
      <c r="C8" s="328">
        <v>261794</v>
      </c>
      <c r="D8" s="328" t="s">
        <v>1305</v>
      </c>
      <c r="E8" s="328" t="s">
        <v>230</v>
      </c>
      <c r="F8" s="328" t="s">
        <v>1303</v>
      </c>
      <c r="G8" s="329">
        <v>46082</v>
      </c>
      <c r="H8" s="192"/>
    </row>
    <row r="9" spans="1:8" ht="43.5">
      <c r="A9" s="192"/>
      <c r="B9" s="328" t="s">
        <v>1306</v>
      </c>
      <c r="C9" s="328">
        <v>257033</v>
      </c>
      <c r="D9" s="328" t="s">
        <v>1307</v>
      </c>
      <c r="E9" s="328" t="s">
        <v>230</v>
      </c>
      <c r="F9" s="328" t="s">
        <v>538</v>
      </c>
      <c r="G9" s="328" t="s">
        <v>1308</v>
      </c>
      <c r="H9" s="192"/>
    </row>
    <row r="10" spans="1:8" ht="43.5">
      <c r="A10" s="192"/>
      <c r="B10" s="328" t="s">
        <v>1309</v>
      </c>
      <c r="C10" s="328">
        <v>396578</v>
      </c>
      <c r="D10" s="328" t="s">
        <v>1310</v>
      </c>
      <c r="E10" s="328" t="s">
        <v>230</v>
      </c>
      <c r="F10" s="328" t="s">
        <v>538</v>
      </c>
      <c r="G10" s="328" t="s">
        <v>1308</v>
      </c>
      <c r="H10" s="192"/>
    </row>
    <row r="11" spans="1:8">
      <c r="A11" s="192"/>
      <c r="B11" s="328"/>
      <c r="C11" s="328"/>
      <c r="D11" s="328"/>
      <c r="E11" s="328"/>
      <c r="F11" s="328"/>
      <c r="G11" s="329"/>
      <c r="H11" s="192"/>
    </row>
    <row r="12" spans="1:8">
      <c r="A12" s="192"/>
      <c r="B12" s="328"/>
      <c r="C12" s="328"/>
      <c r="D12" s="328"/>
      <c r="E12" s="328"/>
      <c r="F12" s="328"/>
      <c r="G12" s="328"/>
      <c r="H12" s="192"/>
    </row>
    <row r="13" spans="1:8">
      <c r="A13" s="192"/>
      <c r="B13" s="328"/>
      <c r="C13" s="328"/>
      <c r="D13" s="328"/>
      <c r="E13" s="328"/>
      <c r="F13" s="328"/>
      <c r="G13" s="328"/>
      <c r="H13" s="192"/>
    </row>
    <row r="14" spans="1:8">
      <c r="A14" s="192"/>
      <c r="B14" s="328"/>
      <c r="C14" s="328"/>
      <c r="D14" s="328"/>
      <c r="E14" s="328"/>
      <c r="F14" s="328"/>
      <c r="G14" s="328"/>
      <c r="H14" s="192"/>
    </row>
    <row r="15" spans="1:8">
      <c r="A15" s="192"/>
      <c r="B15" s="328"/>
      <c r="C15" s="328"/>
      <c r="D15" s="328"/>
      <c r="E15" s="328"/>
      <c r="F15" s="328"/>
      <c r="G15" s="328"/>
      <c r="H15" s="192"/>
    </row>
    <row r="16" spans="1:8">
      <c r="A16" s="192"/>
      <c r="B16" s="328"/>
      <c r="C16" s="328"/>
      <c r="D16" s="328"/>
      <c r="E16" s="328"/>
      <c r="F16" s="328"/>
      <c r="G16" s="328"/>
      <c r="H16" s="192"/>
    </row>
    <row r="17" spans="1:8">
      <c r="A17" s="192"/>
      <c r="B17" s="328"/>
      <c r="C17" s="328"/>
      <c r="D17" s="328"/>
      <c r="E17" s="328"/>
      <c r="F17" s="328"/>
      <c r="G17" s="328"/>
      <c r="H17" s="192"/>
    </row>
    <row r="18" spans="1:8">
      <c r="A18" s="192"/>
      <c r="B18" s="328"/>
      <c r="C18" s="328"/>
      <c r="D18" s="328"/>
      <c r="E18" s="328"/>
      <c r="F18" s="328"/>
      <c r="G18" s="328"/>
      <c r="H18" s="192"/>
    </row>
    <row r="19" spans="1:8">
      <c r="A19" s="192"/>
      <c r="B19" s="328"/>
      <c r="C19" s="328"/>
      <c r="D19" s="328"/>
      <c r="E19" s="328"/>
      <c r="F19" s="328"/>
      <c r="G19" s="328"/>
      <c r="H19" s="192"/>
    </row>
    <row r="20" spans="1:8">
      <c r="A20" s="192"/>
      <c r="B20" s="328"/>
      <c r="C20" s="328"/>
      <c r="D20" s="328"/>
      <c r="E20" s="328"/>
      <c r="F20" s="328"/>
      <c r="G20" s="328"/>
      <c r="H20" s="192"/>
    </row>
    <row r="21" spans="1:8">
      <c r="A21" s="192"/>
      <c r="B21" s="328"/>
      <c r="C21" s="328"/>
      <c r="D21" s="328"/>
      <c r="E21" s="328"/>
      <c r="F21" s="328"/>
      <c r="G21" s="328"/>
      <c r="H21" s="192"/>
    </row>
    <row r="22" spans="1:8">
      <c r="A22" s="192"/>
      <c r="B22" s="328"/>
      <c r="C22" s="328"/>
      <c r="D22" s="328"/>
      <c r="E22" s="328"/>
      <c r="F22" s="328"/>
      <c r="G22" s="328"/>
      <c r="H22" s="192"/>
    </row>
    <row r="23" spans="1:8">
      <c r="A23" s="192"/>
      <c r="B23" s="328"/>
      <c r="C23" s="328"/>
      <c r="D23" s="328"/>
      <c r="E23" s="328"/>
      <c r="F23" s="328"/>
      <c r="G23" s="328"/>
      <c r="H23" s="192"/>
    </row>
    <row r="24" spans="1:8">
      <c r="A24" s="192"/>
      <c r="B24" s="328"/>
      <c r="C24" s="328"/>
      <c r="D24" s="328"/>
      <c r="E24" s="328"/>
      <c r="F24" s="328"/>
      <c r="G24" s="328"/>
      <c r="H24" s="192"/>
    </row>
    <row r="25" spans="1:8">
      <c r="A25" s="192"/>
      <c r="B25" s="328"/>
      <c r="C25" s="328"/>
      <c r="D25" s="328"/>
      <c r="E25" s="328"/>
      <c r="F25" s="328"/>
      <c r="G25" s="328"/>
      <c r="H25" s="192"/>
    </row>
    <row r="26" spans="1:8">
      <c r="A26" s="192"/>
      <c r="B26" s="328"/>
      <c r="C26" s="328"/>
      <c r="D26" s="328"/>
      <c r="E26" s="328"/>
      <c r="F26" s="328"/>
      <c r="G26" s="328"/>
      <c r="H26" s="192"/>
    </row>
    <row r="27" spans="1:8">
      <c r="A27" s="192"/>
      <c r="B27" s="328"/>
      <c r="C27" s="328"/>
      <c r="D27" s="328"/>
      <c r="E27" s="328"/>
      <c r="F27" s="328"/>
      <c r="G27" s="328"/>
      <c r="H27" s="192"/>
    </row>
    <row r="28" spans="1:8">
      <c r="A28" s="192"/>
      <c r="B28" s="328"/>
      <c r="C28" s="328"/>
      <c r="D28" s="328"/>
      <c r="E28" s="328"/>
      <c r="F28" s="328"/>
      <c r="G28" s="328"/>
      <c r="H28" s="192"/>
    </row>
    <row r="29" spans="1:8">
      <c r="A29" s="192"/>
      <c r="B29" s="328"/>
      <c r="C29" s="328"/>
      <c r="D29" s="328"/>
      <c r="E29" s="328"/>
      <c r="F29" s="328"/>
      <c r="G29" s="328"/>
      <c r="H29" s="192"/>
    </row>
    <row r="30" spans="1:8">
      <c r="A30" s="192"/>
      <c r="B30" s="328"/>
      <c r="C30" s="328"/>
      <c r="D30" s="328"/>
      <c r="E30" s="328"/>
      <c r="F30" s="328"/>
      <c r="G30" s="328"/>
      <c r="H30" s="192"/>
    </row>
    <row r="31" spans="1:8">
      <c r="A31" s="192"/>
      <c r="B31" s="328"/>
      <c r="C31" s="328"/>
      <c r="D31" s="328"/>
      <c r="E31" s="328"/>
      <c r="F31" s="328"/>
      <c r="G31" s="328"/>
      <c r="H31" s="192"/>
    </row>
    <row r="32" spans="1:8">
      <c r="A32" s="192"/>
      <c r="B32" s="328"/>
      <c r="C32" s="328"/>
      <c r="D32" s="328"/>
      <c r="E32" s="328"/>
      <c r="F32" s="328"/>
      <c r="G32" s="328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1311</v>
      </c>
      <c r="D5" s="361"/>
      <c r="E5" s="361"/>
      <c r="F5" s="361"/>
      <c r="G5" s="361"/>
      <c r="H5" s="361"/>
      <c r="I5" s="361"/>
      <c r="J5" s="362"/>
      <c r="K5" s="363" t="s">
        <v>1312</v>
      </c>
      <c r="L5" s="364"/>
      <c r="M5" s="364"/>
      <c r="N5" s="364"/>
      <c r="O5" s="365" t="s">
        <v>1313</v>
      </c>
      <c r="P5" s="366"/>
      <c r="Q5" s="367"/>
    </row>
    <row r="6" spans="1:17" s="93" customFormat="1" ht="15.75" customHeight="1">
      <c r="A6" s="87" t="s">
        <v>1314</v>
      </c>
      <c r="B6" s="94" t="s">
        <v>1315</v>
      </c>
      <c r="C6" s="95" t="s">
        <v>1163</v>
      </c>
      <c r="D6" s="96" t="s">
        <v>1164</v>
      </c>
      <c r="E6" s="95" t="s">
        <v>1316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1317</v>
      </c>
      <c r="M6" s="139" t="s">
        <v>30</v>
      </c>
      <c r="N6" s="140" t="s">
        <v>1158</v>
      </c>
      <c r="O6" s="246" t="s">
        <v>1201</v>
      </c>
      <c r="P6" s="157"/>
      <c r="Q6" s="193" t="s">
        <v>1318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0.3125</v>
      </c>
      <c r="J63" s="132">
        <f>IF(FN_MC!P61="","*",FN_MC!P61)</f>
        <v>0.16666666666666666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1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1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1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1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46028</v>
      </c>
      <c r="B71" s="98" t="str">
        <f>IF(FN_MC!X69="","*",FN_MC!X69)</f>
        <v>*</v>
      </c>
      <c r="C71" s="99" t="str">
        <f>IF(FN_MC!S69="","*",FN_MC!S69)</f>
        <v>FERRONORTE</v>
      </c>
      <c r="D71" s="99" t="str">
        <f>IF(FN_MC!T69="","*",FN_MC!T69)</f>
        <v>TGR-TRO</v>
      </c>
      <c r="E71" s="99" t="str">
        <f>IF(FN_MC!D69="","*",FN_MC!D69)</f>
        <v>W70</v>
      </c>
      <c r="F71" s="99" t="str">
        <f>IF(FN_MC!H69="","*",FN_MC!H69)</f>
        <v>TRO</v>
      </c>
      <c r="G71" s="99" t="str">
        <f>IF(FN_MC!M69="","*",FN_MC!M69)</f>
        <v>TSF-TEX</v>
      </c>
      <c r="H71" s="154">
        <f>IF(FN_MC!K69="","*",FN_MC!K69)</f>
        <v>732</v>
      </c>
      <c r="I71" s="132">
        <f>IF(FN_MC!O69="","*",FN_MC!O69)</f>
        <v>0.375</v>
      </c>
      <c r="J71" s="132">
        <f>IF(FN_MC!P69="","*",FN_MC!P69)</f>
        <v>0.16666666666666666</v>
      </c>
      <c r="K71" s="141" t="str">
        <f>IF(FN_MC!AK69="","*",FN_MC!AK69)</f>
        <v>TRO</v>
      </c>
      <c r="L71" s="141" t="str">
        <f>IF(FN_MC!AM69="","*",FN_MC!AM69)</f>
        <v>TSF-TEX</v>
      </c>
      <c r="M71" s="141">
        <f>IF(FN_MC!AP69="","*",FN_MC!AP69)</f>
        <v>732</v>
      </c>
      <c r="N71" s="141" t="str">
        <f>IF(FN_MC!AM69="","*",FN_MC!AM69)</f>
        <v>TSF-TEX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46028</v>
      </c>
      <c r="B72" s="98" t="str">
        <f>IF(FN_MC!X70="","*",FN_MC!X70)</f>
        <v>*</v>
      </c>
      <c r="C72" s="99" t="str">
        <f>IF(FN_MC!S70="","*",FN_MC!S70)</f>
        <v>FERRONORTE</v>
      </c>
      <c r="D72" s="99" t="str">
        <f>IF(FN_MC!T70="","*",FN_MC!T70)</f>
        <v>TGR-TRO</v>
      </c>
      <c r="E72" s="99" t="str">
        <f>IF(FN_MC!D70="","*",FN_MC!D70)</f>
        <v>A80</v>
      </c>
      <c r="F72" s="99" t="str">
        <f>IF(FN_MC!H70="","*",FN_MC!H70)</f>
        <v>TAG</v>
      </c>
      <c r="G72" s="99" t="str">
        <f>IF(FN_MC!M70="","*",FN_MC!M70)</f>
        <v>TGR-TIQ</v>
      </c>
      <c r="H72" s="154">
        <f>IF(FN_MC!K70="","*",FN_MC!K70)</f>
        <v>502</v>
      </c>
      <c r="I72" s="132">
        <f>IF(FN_MC!O70="","*",FN_MC!O70)</f>
        <v>0.375</v>
      </c>
      <c r="J72" s="132">
        <f>IF(FN_MC!P70="","*",FN_MC!P70)</f>
        <v>4.1666666666666664E-2</v>
      </c>
      <c r="K72" s="141" t="str">
        <f>IF(FN_MC!AK70="","*",FN_MC!AK70)</f>
        <v>TAG</v>
      </c>
      <c r="L72" s="141" t="str">
        <f>IF(FN_MC!AM70="","*",FN_MC!AM70)</f>
        <v>TGR-TIQ</v>
      </c>
      <c r="M72" s="141">
        <f>IF(FN_MC!AP70="","*",FN_MC!AP70)</f>
        <v>502</v>
      </c>
      <c r="N72" s="141" t="str">
        <f>IF(FN_MC!AM70="","*",FN_MC!AM70)</f>
        <v>TGR-TIQ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46028</v>
      </c>
      <c r="B73" s="98" t="str">
        <f>IF(FN_MC!X71="","*",FN_MC!X71)</f>
        <v>*</v>
      </c>
      <c r="C73" s="99" t="str">
        <f>IF(FN_MC!S71="","*",FN_MC!S71)</f>
        <v>FERRONORTE</v>
      </c>
      <c r="D73" s="99" t="str">
        <f>IF(FN_MC!T71="","*",FN_MC!T71)</f>
        <v>TCS-TGR</v>
      </c>
      <c r="E73" s="99" t="str">
        <f>IF(FN_MC!D71="","*",FN_MC!D71)</f>
        <v>ELSON (TF-526)</v>
      </c>
      <c r="F73" s="99" t="str">
        <f>IF(FN_MC!H71="","*",FN_MC!H71)</f>
        <v>TPC440</v>
      </c>
      <c r="G73" s="99" t="str">
        <f>IF(FN_MC!M71="","*",FN_MC!M71)</f>
        <v>TPC-TVL</v>
      </c>
      <c r="H73" s="154">
        <f>IF(FN_MC!K71="","*",FN_MC!K71)</f>
        <v>436.2</v>
      </c>
      <c r="I73" s="132">
        <f>IF(FN_MC!O71="","*",FN_MC!O71)</f>
        <v>0.375</v>
      </c>
      <c r="J73" s="132">
        <f>IF(FN_MC!P71="","*",FN_MC!P71)</f>
        <v>0.125</v>
      </c>
      <c r="K73" s="141" t="str">
        <f>IF(FN_MC!AK71="","*",FN_MC!AK71)</f>
        <v>TPC440</v>
      </c>
      <c r="L73" s="141" t="str">
        <f>IF(FN_MC!AM71="","*",FN_MC!AM71)</f>
        <v>TPC-TVL</v>
      </c>
      <c r="M73" s="141">
        <f>IF(FN_MC!AP71="","*",FN_MC!AP71)</f>
        <v>436.2</v>
      </c>
      <c r="N73" s="141" t="str">
        <f>IF(FN_MC!AM71="","*",FN_MC!AM71)</f>
        <v>TPC-TVL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46028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E46</v>
      </c>
      <c r="F74" s="99" t="str">
        <f>IF(FN_MC!H72="","*",FN_MC!H72)</f>
        <v>TRC</v>
      </c>
      <c r="G74" s="99" t="str">
        <f>IF(FN_MC!M72="","*",FN_MC!M72)</f>
        <v>TVI-TJA</v>
      </c>
      <c r="H74" s="154">
        <f>IF(FN_MC!K72="","*",FN_MC!K72)</f>
        <v>249.26599999999999</v>
      </c>
      <c r="I74" s="132">
        <f>IF(FN_MC!O72="","*",FN_MC!O72)</f>
        <v>0.39583333333333331</v>
      </c>
      <c r="J74" s="132">
        <f>IF(FN_MC!P72="","*",FN_MC!P72)</f>
        <v>0.16666666666666666</v>
      </c>
      <c r="K74" s="141" t="str">
        <f>IF(FN_MC!AK72="","*",FN_MC!AK72)</f>
        <v>TRC</v>
      </c>
      <c r="L74" s="141" t="str">
        <f>IF(FN_MC!AM72="","*",FN_MC!AM72)</f>
        <v>TVI-TJA</v>
      </c>
      <c r="M74" s="141">
        <f>IF(FN_MC!AP72="","*",FN_MC!AP72)</f>
        <v>249.26599999999999</v>
      </c>
      <c r="N74" s="141" t="str">
        <f>IF(FN_MC!AM72="","*",FN_MC!AM72)</f>
        <v>TVI-TJA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46028</v>
      </c>
      <c r="B76" s="98" t="str">
        <f>IF(FN_MC!X74="","*",FN_MC!X74)</f>
        <v>*</v>
      </c>
      <c r="C76" s="99" t="str">
        <f>IF(FN_MC!S74="","*",FN_MC!S74)</f>
        <v>FERRONORTE</v>
      </c>
      <c r="D76" s="99" t="str">
        <f>IF(FN_MC!T74="","*",FN_MC!T74)</f>
        <v>TCS-TGR</v>
      </c>
      <c r="E76" s="99" t="str">
        <f>IF(FN_MC!D74="","*",FN_MC!D74)</f>
        <v>TP-492</v>
      </c>
      <c r="F76" s="99" t="str">
        <f>IF(FN_MC!H74="","*",FN_MC!H74)</f>
        <v>TLA350</v>
      </c>
      <c r="G76" s="99" t="str">
        <f>IF(FN_MC!M74="","*",FN_MC!M74)</f>
        <v>TLA-TSE</v>
      </c>
      <c r="H76" s="154">
        <f>IF(FN_MC!K74="","*",FN_MC!K74)</f>
        <v>343.33499999999998</v>
      </c>
      <c r="I76" s="132">
        <f>IF(FN_MC!O74="","*",FN_MC!O74)</f>
        <v>0.375</v>
      </c>
      <c r="J76" s="132">
        <f>IF(FN_MC!P74="","*",FN_MC!P74)</f>
        <v>0.25</v>
      </c>
      <c r="K76" s="141" t="str">
        <f>IF(FN_MC!AK74="","*",FN_MC!AK74)</f>
        <v>TLA350</v>
      </c>
      <c r="L76" s="141" t="str">
        <f>IF(FN_MC!AM74="","*",FN_MC!AM74)</f>
        <v>TLA-TSE</v>
      </c>
      <c r="M76" s="141">
        <f>IF(FN_MC!AP74="","*",FN_MC!AP74)</f>
        <v>343.33499999999998</v>
      </c>
      <c r="N76" s="141" t="str">
        <f>IF(FN_MC!AM74="","*",FN_MC!AM74)</f>
        <v>TLA-TSE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>
        <f>IF(FN_MC!B75="","*",FN_MC!B75)</f>
        <v>46028</v>
      </c>
      <c r="B77" s="98" t="str">
        <f>IF(FN_MC!X75="","*",FN_MC!X75)</f>
        <v>*</v>
      </c>
      <c r="C77" s="99" t="str">
        <f>IF(FN_MC!S75="","*",FN_MC!S75)</f>
        <v>FERRONORTE</v>
      </c>
      <c r="D77" s="99" t="str">
        <f>IF(FN_MC!T75="","*",FN_MC!T75)</f>
        <v>TCS-TGR</v>
      </c>
      <c r="E77" s="99" t="str">
        <f>IF(FN_MC!D75="","*",FN_MC!D75)</f>
        <v>A60</v>
      </c>
      <c r="F77" s="99" t="str">
        <f>IF(FN_MC!H75="","*",FN_MC!H75)</f>
        <v>TCS</v>
      </c>
      <c r="G77" s="99" t="str">
        <f>IF(FN_MC!M75="","*",FN_MC!M75)</f>
        <v>TRC</v>
      </c>
      <c r="H77" s="154">
        <f>IF(FN_MC!K75="","*",FN_MC!K75)</f>
        <v>291.32499999999999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TCS</v>
      </c>
      <c r="L77" s="141" t="str">
        <f>IF(FN_MC!AM75="","*",FN_MC!AM75)</f>
        <v>TRC</v>
      </c>
      <c r="M77" s="141">
        <f>IF(FN_MC!AP75="","*",FN_MC!AP75)</f>
        <v>291.32499999999999</v>
      </c>
      <c r="N77" s="141" t="str">
        <f>IF(FN_MC!AM75="","*",FN_MC!AM75)</f>
        <v>TRC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46028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TMI-TCS</v>
      </c>
      <c r="E79" s="99" t="str">
        <f>IF(FN_MC!D77="","*",FN_MC!D77)</f>
        <v>W50</v>
      </c>
      <c r="F79" s="99" t="str">
        <f>IF(FN_MC!H77="","*",FN_MC!H77)</f>
        <v>TCS2</v>
      </c>
      <c r="G79" s="99" t="str">
        <f>IF(FN_MC!M77="","*",FN_MC!M77)</f>
        <v>TID-TVI</v>
      </c>
      <c r="H79" s="154">
        <f>IF(FN_MC!K77="","*",FN_MC!K77)</f>
        <v>215</v>
      </c>
      <c r="I79" s="132">
        <f>IF(FN_MC!O77="","*",FN_MC!O77)</f>
        <v>0.39583333333333331</v>
      </c>
      <c r="J79" s="132">
        <f>IF(FN_MC!P77="","*",FN_MC!P77)</f>
        <v>8.3333333333333329E-2</v>
      </c>
      <c r="K79" s="141" t="str">
        <f>IF(FN_MC!AK77="","*",FN_MC!AK77)</f>
        <v>TCS2</v>
      </c>
      <c r="L79" s="141" t="str">
        <f>IF(FN_MC!AM77="","*",FN_MC!AM77)</f>
        <v>TID-TVI</v>
      </c>
      <c r="M79" s="141">
        <f>IF(FN_MC!AP77="","*",FN_MC!AP77)</f>
        <v>215</v>
      </c>
      <c r="N79" s="141" t="str">
        <f>IF(FN_MC!AM77="","*",FN_MC!AM77)</f>
        <v>TID-TVI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46028</v>
      </c>
      <c r="B81" s="98" t="str">
        <f>IF(FN_MC!X79="","*",FN_MC!X79)</f>
        <v>*</v>
      </c>
      <c r="C81" s="99" t="str">
        <f>IF(FN_MC!S79="","*",FN_MC!S79)</f>
        <v>MALHA CENTRAL</v>
      </c>
      <c r="D81" s="99" t="str">
        <f>IF(FN_MC!T79="","*",FN_MC!T79)</f>
        <v>RAMAL</v>
      </c>
      <c r="E81" s="99" t="str">
        <f>IF(FN_MC!D79="","*",FN_MC!D79)</f>
        <v>V42</v>
      </c>
      <c r="F81" s="99" t="str">
        <f>IF(FN_MC!H79="","*",FN_MC!H79)</f>
        <v>ZGT1</v>
      </c>
      <c r="G81" s="99" t="str">
        <f>IF(FN_MC!M79="","*",FN_MC!M79)</f>
        <v>ZRI</v>
      </c>
      <c r="H81" s="154">
        <f>IF(FN_MC!K79="","*",FN_MC!K79)</f>
        <v>286.39999999999998</v>
      </c>
      <c r="I81" s="132">
        <f>IF(FN_MC!O79="","*",FN_MC!O79)</f>
        <v>0.29166666666666669</v>
      </c>
      <c r="J81" s="132">
        <f>IF(FN_MC!P79="","*",FN_MC!P79)</f>
        <v>8.3333333333333329E-2</v>
      </c>
      <c r="K81" s="141" t="str">
        <f>IF(FN_MC!AK79="","*",FN_MC!AK79)</f>
        <v>ZGT1</v>
      </c>
      <c r="L81" s="141" t="str">
        <f>IF(FN_MC!AM79="","*",FN_MC!AM79)</f>
        <v>ZRI</v>
      </c>
      <c r="M81" s="141">
        <f>IF(FN_MC!AP79="","*",FN_MC!AP79)</f>
        <v>286.39999999999998</v>
      </c>
      <c r="N81" s="141" t="str">
        <f>IF(FN_MC!AM79="","*",FN_MC!AM79)</f>
        <v>ZRI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46028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E40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1318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T1" workbookViewId="0">
      <selection activeCell="B58" sqref="B58:U6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1319</v>
      </c>
      <c r="W1" s="373"/>
      <c r="X1" s="373"/>
      <c r="Y1" s="104"/>
    </row>
    <row r="2" spans="1:25" s="100" customFormat="1" ht="11.25" customHeight="1">
      <c r="A2" s="105" t="s">
        <v>1320</v>
      </c>
      <c r="B2" s="105" t="s">
        <v>1315</v>
      </c>
      <c r="C2" s="105" t="s">
        <v>7</v>
      </c>
      <c r="D2" s="106" t="s">
        <v>1163</v>
      </c>
      <c r="E2" s="106" t="s">
        <v>1164</v>
      </c>
      <c r="F2" s="106" t="s">
        <v>1314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1321</v>
      </c>
      <c r="U2" s="108" t="s">
        <v>1166</v>
      </c>
      <c r="V2" s="103">
        <f ca="1">TODAY()-1</f>
        <v>46026</v>
      </c>
      <c r="W2" s="103">
        <f ca="1">V2-1</f>
        <v>46025</v>
      </c>
      <c r="X2" s="103">
        <f ca="1">W2-1</f>
        <v>46024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1723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1125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30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1723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1125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786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410</v>
      </c>
      <c r="W25" s="112">
        <f ca="1">_xlfn.XLOOKUP(G25&amp;$W$2,BS_CONTROLE[CHAVE],BS_CONTROLE[Quantidade_11],"-")</f>
        <v>770</v>
      </c>
      <c r="X25" s="112">
        <f ca="1">_xlfn.XLOOKUP(G25&amp;$X$2,BS_CONTROLE[CHAVE],BS_CONTROLE[Quantidade_11],"-")</f>
        <v>220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1723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1125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786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410</v>
      </c>
      <c r="W42" s="112">
        <f ca="1">_xlfn.XLOOKUP(G42&amp;$W$2,BS_CONTROLE[CHAVE],BS_CONTROLE[Quantidade_11],"-")</f>
        <v>770</v>
      </c>
      <c r="X42" s="112">
        <f ca="1">_xlfn.XLOOKUP(G42&amp;$X$2,BS_CONTROLE[CHAVE],BS_CONTROLE[Quantidade_11],"-")</f>
        <v>220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1723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1125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410</v>
      </c>
      <c r="W52" s="112">
        <f ca="1">_xlfn.XLOOKUP(G52&amp;$W$2,BS_CONTROLE[CHAVE],BS_CONTROLE[Quantidade_11],"-")</f>
        <v>770</v>
      </c>
      <c r="X52" s="112">
        <f ca="1">_xlfn.XLOOKUP(G52&amp;$X$2,BS_CONTROLE[CHAVE],BS_CONTROLE[Quantidade_11],"-")</f>
        <v>220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30</v>
      </c>
      <c r="X58" s="112">
        <f ca="1">_xlfn.XLOOKUP(G58&amp;$X$2,BS_CONTROLE[CHAVE],BS_CONTROLE[Quantidade_11],"-")</f>
        <v>1</v>
      </c>
    </row>
    <row r="59" spans="1:24" s="113" customFormat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MECANIZAÇÃO - SOCADORA</v>
      </c>
      <c r="I59" s="110" t="str">
        <f>IF(FN_MC!H61="","*",FN_MC!H61)</f>
        <v>TGR2</v>
      </c>
      <c r="J59" s="110" t="str">
        <f>IF(FN_MC!I61="","*",FN_MC!I61)</f>
        <v>TAG</v>
      </c>
      <c r="K59" s="110" t="str">
        <f>IF(FN_MC!M61="","*",FN_MC!M61)</f>
        <v>TGR-TBE</v>
      </c>
      <c r="L59" s="110" t="str">
        <f>IF(FN_MC!N61="","*",FN_MC!N61)</f>
        <v>TAG2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0.3125</v>
      </c>
      <c r="R59" s="128">
        <f>IF(FN_MC!P61="","*",FN_MC!P61)</f>
        <v>0.16666666666666666</v>
      </c>
      <c r="S59" s="110" t="str">
        <f>IF(FN_MC!Q61="","*",CONCATENATE(FN_MC!Q61," ",FN_MC!R61))</f>
        <v>2200 M</v>
      </c>
      <c r="T59" s="110" t="str">
        <f>IF(FN_MC!V61="","*",FN_MC!V61)</f>
        <v>Saulo</v>
      </c>
      <c r="U59" s="110" t="str">
        <f>IF(FN_MC!W61="","*",FN_MC!W61)</f>
        <v xml:space="preserve">Trabalha em TAG2 </v>
      </c>
      <c r="V59" s="112">
        <f ca="1">_xlfn.XLOOKUP(G59&amp;$V$2,BS_CONTROLE[CHAVE],BS_CONTROLE[Quantidade_11],"-")</f>
        <v>1723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1125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786</v>
      </c>
    </row>
    <row r="61" spans="1:24" s="113" customFormat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410</v>
      </c>
      <c r="W63" s="112">
        <f ca="1">_xlfn.XLOOKUP(G63&amp;$W$2,BS_CONTROLE[CHAVE],BS_CONTROLE[Quantidade_11],"-")</f>
        <v>770</v>
      </c>
      <c r="X63" s="112">
        <f ca="1">_xlfn.XLOOKUP(G63&amp;$X$2,BS_CONTROLE[CHAVE],BS_CONTROLE[Quantidade_11],"-")</f>
        <v>220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FERRONORTE</v>
      </c>
      <c r="E67" s="110" t="str">
        <f>IF(FN_MC!T69="","*",FN_MC!T69)</f>
        <v>TGR-TRO</v>
      </c>
      <c r="F67" s="110">
        <f>IF(FN_MC!B69="","*",FN_MC!B69)</f>
        <v>46028</v>
      </c>
      <c r="G67" s="110" t="str">
        <f>IF(FN_MC!D69="","*",FN_MC!D69)</f>
        <v>W70</v>
      </c>
      <c r="H67" s="110" t="str">
        <f>IF(FN_MC!F69="","*",FN_MC!F69)</f>
        <v>PDM - PEDRA - DESCARGA</v>
      </c>
      <c r="I67" s="110" t="str">
        <f>IF(FN_MC!H69="","*",FN_MC!H69)</f>
        <v>TRO</v>
      </c>
      <c r="J67" s="110" t="str">
        <f>IF(FN_MC!I69="","*",FN_MC!I69)</f>
        <v>TGR2</v>
      </c>
      <c r="K67" s="110" t="str">
        <f>IF(FN_MC!M69="","*",FN_MC!M69)</f>
        <v>TSF-TEX</v>
      </c>
      <c r="L67" s="110" t="str">
        <f>IF(FN_MC!N69="","*",FN_MC!N69)</f>
        <v>TSF732</v>
      </c>
      <c r="M67" s="111">
        <f>IF(FN_MC!J69="","*",FN_MC!J69)</f>
        <v>98</v>
      </c>
      <c r="N67" s="296">
        <f>IF(FN_MC!K69="","*",FN_MC!K69)</f>
        <v>732</v>
      </c>
      <c r="O67" s="296">
        <f>IF(FN_MC!L69="","*",FN_MC!L69)</f>
        <v>735</v>
      </c>
      <c r="P67" s="111"/>
      <c r="Q67" s="128">
        <f>IF(FN_MC!O69="","*",FN_MC!O69)</f>
        <v>0.375</v>
      </c>
      <c r="R67" s="128">
        <f>IF(FN_MC!P69="","*",FN_MC!P69)</f>
        <v>0.16666666666666666</v>
      </c>
      <c r="S67" s="110" t="str">
        <f>IF(FN_MC!Q69="","*",CONCATENATE(FN_MC!Q69," ",FN_MC!R69))</f>
        <v>30 VAGÕES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30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FERRONORTE</v>
      </c>
      <c r="E68" s="110" t="str">
        <f>IF(FN_MC!T70="","*",FN_MC!T70)</f>
        <v>TGR-TRO</v>
      </c>
      <c r="F68" s="110">
        <f>IF(FN_MC!B70="","*",FN_MC!B70)</f>
        <v>46028</v>
      </c>
      <c r="G68" s="110" t="str">
        <f>IF(FN_MC!D70="","*",FN_MC!D70)</f>
        <v>A80</v>
      </c>
      <c r="H68" s="110" t="str">
        <f>IF(FN_MC!F70="","*",FN_MC!F70)</f>
        <v>DETECÇÃO - RONDA 7 DIAS</v>
      </c>
      <c r="I68" s="110" t="str">
        <f>IF(FN_MC!H70="","*",FN_MC!H70)</f>
        <v>TAG</v>
      </c>
      <c r="J68" s="110" t="str">
        <f>IF(FN_MC!I70="","*",FN_MC!I70)</f>
        <v>TIQ</v>
      </c>
      <c r="K68" s="110" t="str">
        <f>IF(FN_MC!M70="","*",FN_MC!M70)</f>
        <v>TGR-TIQ</v>
      </c>
      <c r="L68" s="110" t="str">
        <f>IF(FN_MC!N70="","*",FN_MC!N70)</f>
        <v>TGRTIQ</v>
      </c>
      <c r="M68" s="111">
        <f>IF(FN_MC!J70="","*",FN_MC!J70)</f>
        <v>98</v>
      </c>
      <c r="N68" s="296">
        <f>IF(FN_MC!K70="","*",FN_MC!K70)</f>
        <v>502</v>
      </c>
      <c r="O68" s="296">
        <f>IF(FN_MC!L70="","*",FN_MC!L70)</f>
        <v>616</v>
      </c>
      <c r="P68" s="111"/>
      <c r="Q68" s="128">
        <f>IF(FN_MC!O70="","*",FN_MC!O70)</f>
        <v>0.375</v>
      </c>
      <c r="R68" s="128">
        <f>IF(FN_MC!P70="","*",FN_MC!P70)</f>
        <v>4.1666666666666664E-2</v>
      </c>
      <c r="S68" s="110" t="str">
        <f>IF(FN_MC!Q70="","*",CONCATENATE(FN_MC!Q70," ",FN_MC!R70))</f>
        <v>600 KM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FERRONORTE</v>
      </c>
      <c r="E69" s="110" t="str">
        <f>IF(FN_MC!T71="","*",FN_MC!T71)</f>
        <v>TCS-TGR</v>
      </c>
      <c r="F69" s="110">
        <f>IF(FN_MC!B71="","*",FN_MC!B71)</f>
        <v>46028</v>
      </c>
      <c r="G69" s="110" t="str">
        <f>IF(FN_MC!D71="","*",FN_MC!D71)</f>
        <v>ELSON (TF-526)</v>
      </c>
      <c r="H69" s="110" t="str">
        <f>IF(FN_MC!F71="","*",FN_MC!F71)</f>
        <v>PDM - SOLDA</v>
      </c>
      <c r="I69" s="110" t="str">
        <f>IF(FN_MC!H71="","*",FN_MC!H71)</f>
        <v>TPC440</v>
      </c>
      <c r="J69" s="110" t="str">
        <f>IF(FN_MC!I71="","*",FN_MC!I71)</f>
        <v>-</v>
      </c>
      <c r="K69" s="110" t="str">
        <f>IF(FN_MC!M71="","*",FN_MC!M71)</f>
        <v>TPC-TVL</v>
      </c>
      <c r="L69" s="110" t="str">
        <f>IF(FN_MC!N71="","*",FN_MC!N71)</f>
        <v>TPC440</v>
      </c>
      <c r="M69" s="111">
        <f>IF(FN_MC!J71="","*",FN_MC!J71)</f>
        <v>74</v>
      </c>
      <c r="N69" s="296">
        <f>IF(FN_MC!K71="","*",FN_MC!K71)</f>
        <v>436.2</v>
      </c>
      <c r="O69" s="296" t="str">
        <f>IF(FN_MC!L71="","*",FN_MC!L71)</f>
        <v>-</v>
      </c>
      <c r="P69" s="111"/>
      <c r="Q69" s="128">
        <f>IF(FN_MC!O71="","*",FN_MC!O71)</f>
        <v>0.375</v>
      </c>
      <c r="R69" s="128">
        <f>IF(FN_MC!P71="","*",FN_MC!P71)</f>
        <v>0.125</v>
      </c>
      <c r="S69" s="110" t="str">
        <f>IF(FN_MC!Q71="","*",CONCATENATE(FN_MC!Q71," ",FN_MC!R71))</f>
        <v>2 Nº DE SOLDA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>
        <f>IF(FN_MC!B72="","*",FN_MC!B72)</f>
        <v>46028</v>
      </c>
      <c r="G70" s="110" t="str">
        <f>IF(FN_MC!D72="","*",FN_MC!D72)</f>
        <v>E46</v>
      </c>
      <c r="H70" s="110" t="str">
        <f>IF(FN_MC!F72="","*",FN_MC!F72)</f>
        <v>TRILHEIRO - DESCARGA</v>
      </c>
      <c r="I70" s="110" t="str">
        <f>IF(FN_MC!H72="","*",FN_MC!H72)</f>
        <v>TRC</v>
      </c>
      <c r="J70" s="110" t="str">
        <f>IF(FN_MC!I72="","*",FN_MC!I72)</f>
        <v>TRC</v>
      </c>
      <c r="K70" s="110" t="str">
        <f>IF(FN_MC!M72="","*",FN_MC!M72)</f>
        <v>TVI-TJA</v>
      </c>
      <c r="L70" s="110" t="str">
        <f>IF(FN_MC!N72="","*",FN_MC!N72)</f>
        <v>TVITJA</v>
      </c>
      <c r="M70" s="111">
        <f>IF(FN_MC!J72="","*",FN_MC!J72)</f>
        <v>98</v>
      </c>
      <c r="N70" s="296">
        <f>IF(FN_MC!K72="","*",FN_MC!K72)</f>
        <v>249.26599999999999</v>
      </c>
      <c r="O70" s="296">
        <f>IF(FN_MC!L72="","*",FN_MC!L72)</f>
        <v>246.00700000000001</v>
      </c>
      <c r="P70" s="111"/>
      <c r="Q70" s="128">
        <f>IF(FN_MC!O72="","*",FN_MC!O72)</f>
        <v>0.39583333333333331</v>
      </c>
      <c r="R70" s="128">
        <f>IF(FN_MC!P72="","*",FN_MC!P72)</f>
        <v>0.16666666666666666</v>
      </c>
      <c r="S70" s="110" t="str">
        <f>IF(FN_MC!Q72="","*",CONCATENATE(FN_MC!Q72," ",FN_MC!R72))</f>
        <v>6240 M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FERRONORTE</v>
      </c>
      <c r="E72" s="110" t="str">
        <f>IF(FN_MC!T74="","*",FN_MC!T74)</f>
        <v>TCS-TGR</v>
      </c>
      <c r="F72" s="110">
        <f>IF(FN_MC!B74="","*",FN_MC!B74)</f>
        <v>46028</v>
      </c>
      <c r="G72" s="110" t="str">
        <f>IF(FN_MC!D74="","*",FN_MC!D74)</f>
        <v>TP-492</v>
      </c>
      <c r="H72" s="110" t="str">
        <f>IF(FN_MC!F74="","*",FN_MC!F74)</f>
        <v>PDM - DORMENTE - PONTE</v>
      </c>
      <c r="I72" s="110" t="str">
        <f>IF(FN_MC!H74="","*",FN_MC!H74)</f>
        <v>TLA350</v>
      </c>
      <c r="J72" s="110" t="str">
        <f>IF(FN_MC!I74="","*",FN_MC!I74)</f>
        <v>-</v>
      </c>
      <c r="K72" s="110" t="str">
        <f>IF(FN_MC!M74="","*",FN_MC!M74)</f>
        <v>TLA-TSE</v>
      </c>
      <c r="L72" s="110" t="str">
        <f>IF(FN_MC!N74="","*",FN_MC!N74)</f>
        <v>TLA350</v>
      </c>
      <c r="M72" s="111">
        <f>IF(FN_MC!J74="","*",FN_MC!J74)</f>
        <v>74</v>
      </c>
      <c r="N72" s="296">
        <f>IF(FN_MC!K74="","*",FN_MC!K74)</f>
        <v>343.33499999999998</v>
      </c>
      <c r="O72" s="296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0.25</v>
      </c>
      <c r="S72" s="110" t="str">
        <f>IF(FN_MC!Q74="","*",CONCATENATE(FN_MC!Q74," ",FN_MC!R74))</f>
        <v>20 M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FERRONORTE</v>
      </c>
      <c r="E73" s="110" t="str">
        <f>IF(FN_MC!T75="","*",FN_MC!T75)</f>
        <v>TCS-TGR</v>
      </c>
      <c r="F73" s="110">
        <f>IF(FN_MC!B75="","*",FN_MC!B75)</f>
        <v>46028</v>
      </c>
      <c r="G73" s="110" t="str">
        <f>IF(FN_MC!D75="","*",FN_MC!D75)</f>
        <v>A60</v>
      </c>
      <c r="H73" s="110" t="str">
        <f>IF(FN_MC!F75="","*",FN_MC!F75)</f>
        <v>DETECÇÃO - RONDA 7 DIAS</v>
      </c>
      <c r="I73" s="110" t="str">
        <f>IF(FN_MC!H75="","*",FN_MC!H75)</f>
        <v>TCS</v>
      </c>
      <c r="J73" s="110" t="str">
        <f>IF(FN_MC!I75="","*",FN_MC!I75)</f>
        <v>TAG</v>
      </c>
      <c r="K73" s="110" t="str">
        <f>IF(FN_MC!M75="","*",FN_MC!M75)</f>
        <v>TRC</v>
      </c>
      <c r="L73" s="110" t="str">
        <f>IF(FN_MC!N75="","*",FN_MC!N75)</f>
        <v>291TRC1</v>
      </c>
      <c r="M73" s="111">
        <f>IF(FN_MC!J75="","*",FN_MC!J75)</f>
        <v>74</v>
      </c>
      <c r="N73" s="296">
        <f>IF(FN_MC!K75="","*",FN_MC!K75)</f>
        <v>291.32499999999999</v>
      </c>
      <c r="O73" s="296" t="str">
        <f>IF(FN_MC!L75="","*",FN_MC!L75)</f>
        <v>*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Oportunidade</v>
      </c>
      <c r="C75" s="109" t="str">
        <f>IF(FN_MC!Z77="","*",FN_MC!Z77)</f>
        <v>*</v>
      </c>
      <c r="D75" s="110" t="str">
        <f>IF(FN_MC!S77="","*",FN_MC!S77)</f>
        <v>FERRONORTE</v>
      </c>
      <c r="E75" s="110" t="str">
        <f>IF(FN_MC!T77="","*",FN_MC!T77)</f>
        <v>TMI-TCS</v>
      </c>
      <c r="F75" s="110">
        <f>IF(FN_MC!B77="","*",FN_MC!B77)</f>
        <v>46028</v>
      </c>
      <c r="G75" s="110" t="str">
        <f>IF(FN_MC!D77="","*",FN_MC!D77)</f>
        <v>W50</v>
      </c>
      <c r="H75" s="110" t="str">
        <f>IF(FN_MC!F77="","*",FN_MC!F77)</f>
        <v>MODERNIZAÇÃO - DORMENTE - DESCARGA</v>
      </c>
      <c r="I75" s="110" t="str">
        <f>IF(FN_MC!H77="","*",FN_MC!H77)</f>
        <v>TCS2</v>
      </c>
      <c r="J75" s="110" t="str">
        <f>IF(FN_MC!I77="","*",FN_MC!I77)</f>
        <v>TCS2</v>
      </c>
      <c r="K75" s="110" t="str">
        <f>IF(FN_MC!M77="","*",FN_MC!M77)</f>
        <v>TID-TVI</v>
      </c>
      <c r="L75" s="110" t="str">
        <f>IF(FN_MC!N77="","*",FN_MC!N77)</f>
        <v>213TVI</v>
      </c>
      <c r="M75" s="111">
        <f>IF(FN_MC!J77="","*",FN_MC!J77)</f>
        <v>74</v>
      </c>
      <c r="N75" s="296">
        <f>IF(FN_MC!K77="","*",FN_MC!K77)</f>
        <v>215</v>
      </c>
      <c r="O75" s="296">
        <f>IF(FN_MC!L77="","*",FN_MC!L77)</f>
        <v>213</v>
      </c>
      <c r="P75" s="111"/>
      <c r="Q75" s="128">
        <f>IF(FN_MC!O77="","*",FN_MC!O77)</f>
        <v>0.39583333333333331</v>
      </c>
      <c r="R75" s="128">
        <f>IF(FN_MC!P77="","*",FN_MC!P77)</f>
        <v>8.3333333333333329E-2</v>
      </c>
      <c r="S75" s="110" t="str">
        <f>IF(FN_MC!Q77="","*",CONCATENATE(FN_MC!Q77," ",FN_MC!R77))</f>
        <v>*</v>
      </c>
      <c r="T75" s="110" t="str">
        <f>IF(FN_MC!V77="","*",FN_MC!V77)</f>
        <v>Augusto</v>
      </c>
      <c r="U75" s="110" t="str">
        <f>IF(FN_MC!W77="","*",FN_MC!W77)</f>
        <v>Descarga de dormente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786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MALHA CENTRAL</v>
      </c>
      <c r="E77" s="110" t="str">
        <f>IF(FN_MC!T79="","*",FN_MC!T79)</f>
        <v>RAMAL</v>
      </c>
      <c r="F77" s="110">
        <f>IF(FN_MC!B79="","*",FN_MC!B79)</f>
        <v>46028</v>
      </c>
      <c r="G77" s="110" t="str">
        <f>IF(FN_MC!D79="","*",FN_MC!D79)</f>
        <v>V42</v>
      </c>
      <c r="H77" s="110" t="str">
        <f>IF(FN_MC!F79="","*",FN_MC!F79)</f>
        <v>MODERNIZAÇÃO - SOCADORA</v>
      </c>
      <c r="I77" s="110" t="str">
        <f>IF(FN_MC!H79="","*",FN_MC!H79)</f>
        <v>ZGT1</v>
      </c>
      <c r="J77" s="110" t="str">
        <f>IF(FN_MC!I79="","*",FN_MC!I79)</f>
        <v>ZGT1</v>
      </c>
      <c r="K77" s="110" t="str">
        <f>IF(FN_MC!M79="","*",FN_MC!M79)</f>
        <v>ZRI</v>
      </c>
      <c r="L77" s="110" t="str">
        <f>IF(FN_MC!N79="","*",FN_MC!N79)</f>
        <v>ZRI1</v>
      </c>
      <c r="M77" s="111">
        <f>IF(FN_MC!J79="","*",FN_MC!J79)</f>
        <v>72</v>
      </c>
      <c r="N77" s="296">
        <f>IF(FN_MC!K79="","*",FN_MC!K79)</f>
        <v>286.39999999999998</v>
      </c>
      <c r="O77" s="296">
        <f>IF(FN_MC!L79="","*",FN_MC!L79)</f>
        <v>287.39999999999998</v>
      </c>
      <c r="P77" s="111"/>
      <c r="Q77" s="128">
        <f>IF(FN_MC!O79="","*",FN_MC!O79)</f>
        <v>0.29166666666666669</v>
      </c>
      <c r="R77" s="128">
        <f>IF(FN_MC!P79="","*",FN_MC!P79)</f>
        <v>8.3333333333333329E-2</v>
      </c>
      <c r="S77" s="110" t="str">
        <f>IF(FN_MC!Q79="","*",CONCATENATE(FN_MC!Q79," ",FN_MC!R79))</f>
        <v>400 M</v>
      </c>
      <c r="T77" s="110" t="str">
        <f>IF(FN_MC!V79="","*",FN_MC!V79)</f>
        <v>*</v>
      </c>
      <c r="U77" s="110" t="str">
        <f>IF(FN_MC!W79="","*",FN_MC!W79)</f>
        <v>*</v>
      </c>
      <c r="V77" s="112">
        <f ca="1">_xlfn.XLOOKUP(G77&amp;$V$2,BS_CONTROLE[CHAVE],BS_CONTROLE[Quantidade_11],"-")</f>
        <v>410</v>
      </c>
      <c r="W77" s="112">
        <f ca="1">_xlfn.XLOOKUP(G77&amp;$W$2,BS_CONTROLE[CHAVE],BS_CONTROLE[Quantidade_11],"-")</f>
        <v>770</v>
      </c>
      <c r="X77" s="112">
        <f ca="1">_xlfn.XLOOKUP(G77&amp;$X$2,BS_CONTROLE[CHAVE],BS_CONTROLE[Quantidade_11],"-")</f>
        <v>220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>
        <f>IF(FN_MC!B81="","*",FN_MC!B81)</f>
        <v>46028</v>
      </c>
      <c r="G79" s="110" t="str">
        <f>IF(FN_MC!D81="","*",FN_MC!D81)</f>
        <v>E40</v>
      </c>
      <c r="H79" s="110" t="str">
        <f>IF(FN_MC!F81="","*",FN_MC!F81)</f>
        <v>DESLOCAMENTO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1322</v>
      </c>
    </row>
  </sheetData>
  <autoFilter ref="A2:Y3000" xr:uid="{D1126E52-FA3F-4EAC-A720-DDE9797BEFF6}">
    <filterColumn colId="5">
      <filters>
        <dateGroupItem year="2026" month="1" day="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R1" workbookViewId="0">
      <selection activeCell="B58" sqref="B5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1323</v>
      </c>
      <c r="C2" s="95" t="s">
        <v>1148</v>
      </c>
      <c r="D2" s="95" t="s">
        <v>1150</v>
      </c>
      <c r="E2" s="95" t="s">
        <v>1324</v>
      </c>
      <c r="F2" s="95" t="s">
        <v>1325</v>
      </c>
      <c r="G2" s="95" t="s">
        <v>1326</v>
      </c>
      <c r="H2" s="95" t="s">
        <v>1327</v>
      </c>
      <c r="I2" s="95" t="s">
        <v>1328</v>
      </c>
      <c r="J2" s="95" t="s">
        <v>1329</v>
      </c>
      <c r="K2" s="131" t="s">
        <v>1330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ESCALA</v>
      </c>
      <c r="I58" s="121" t="str">
        <f>IF(FN_MC!AC60="","*",FN_MC!AC60)</f>
        <v>AGD ACIONAMENTO PCM</v>
      </c>
      <c r="J58" s="122" t="str">
        <f>IF(FN_MC!AA60="","*",FN_MC!AA60)</f>
        <v>2 Maq. Escala 07:00</v>
      </c>
      <c r="K58" s="134" t="str">
        <f>IF(FN_MC!AD60="","*",FN_MC!AD60)</f>
        <v>*</v>
      </c>
    </row>
    <row r="59" spans="2:11" s="123" customFormat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TAG</v>
      </c>
      <c r="H59" s="121" t="str">
        <f>IF(FN_MC!AB61="","*",FN_MC!AB61)</f>
        <v>FIXO</v>
      </c>
      <c r="I59" s="121" t="str">
        <f>IF(FN_MC!AC61="","*",FN_MC!AC61)</f>
        <v>*</v>
      </c>
      <c r="J59" s="122">
        <f>IF(FN_MC!AA61="","*",FN_MC!AA61)</f>
        <v>1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FIXO</v>
      </c>
      <c r="I62" s="121" t="str">
        <f>IF(FN_MC!AC64="","*",FN_MC!AC64)</f>
        <v>*</v>
      </c>
      <c r="J62" s="122">
        <f>IF(FN_MC!AA64="","*",FN_MC!AA64)</f>
        <v>1</v>
      </c>
      <c r="K62" s="134">
        <f>IF(FN_MC!AD64="","*",FN_MC!AD64)</f>
        <v>0.29166666666666669</v>
      </c>
    </row>
    <row r="63" spans="2:11" s="123" customFormat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FIXO</v>
      </c>
      <c r="I63" s="121" t="str">
        <f>IF(FN_MC!AC65="","*",FN_MC!AC65)</f>
        <v>*</v>
      </c>
      <c r="J63" s="122">
        <f>IF(FN_MC!AA65="","*",FN_MC!AA65)</f>
        <v>1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>
        <f>IF(FN_MC!B69="","*",FN_MC!B69)</f>
        <v>46028</v>
      </c>
      <c r="D67" s="121" t="str">
        <f>IF(FN_MC!D69="","*",FN_MC!D69)</f>
        <v>W70</v>
      </c>
      <c r="E67" s="121" t="str">
        <f>IF(FN_MC!H69="","*",FN_MC!H69)</f>
        <v>TRO</v>
      </c>
      <c r="F67" s="137" t="str">
        <f>IF(FN_MC!M69="","*",FN_MC!M69)</f>
        <v>TSF-TEX</v>
      </c>
      <c r="G67" s="121" t="str">
        <f>IF(FN_MC!I69="","*",FN_MC!I69)</f>
        <v>TGR2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>
        <f>IF(FN_MC!B70="","*",FN_MC!B70)</f>
        <v>46028</v>
      </c>
      <c r="D68" s="121" t="str">
        <f>IF(FN_MC!D70="","*",FN_MC!D70)</f>
        <v>A80</v>
      </c>
      <c r="E68" s="121" t="str">
        <f>IF(FN_MC!H70="","*",FN_MC!H70)</f>
        <v>TAG</v>
      </c>
      <c r="F68" s="137" t="str">
        <f>IF(FN_MC!M70="","*",FN_MC!M70)</f>
        <v>TGR-TIQ</v>
      </c>
      <c r="G68" s="121" t="str">
        <f>IF(FN_MC!I70="","*",FN_MC!I70)</f>
        <v>TIQ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>
        <f>IF(FN_MC!B71="","*",FN_MC!B71)</f>
        <v>46028</v>
      </c>
      <c r="D69" s="121" t="str">
        <f>IF(FN_MC!D71="","*",FN_MC!D71)</f>
        <v>ELSON (TF-526)</v>
      </c>
      <c r="E69" s="121" t="str">
        <f>IF(FN_MC!H71="","*",FN_MC!H71)</f>
        <v>TPC440</v>
      </c>
      <c r="F69" s="137" t="str">
        <f>IF(FN_MC!M71="","*",FN_MC!M71)</f>
        <v>TPC-TVL</v>
      </c>
      <c r="G69" s="121" t="str">
        <f>IF(FN_MC!I71="","*",FN_MC!I71)</f>
        <v>-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>
        <f>IF(FN_MC!B72="","*",FN_MC!B72)</f>
        <v>46028</v>
      </c>
      <c r="D70" s="121" t="str">
        <f>IF(FN_MC!D72="","*",FN_MC!D72)</f>
        <v>E46</v>
      </c>
      <c r="E70" s="121" t="str">
        <f>IF(FN_MC!H72="","*",FN_MC!H72)</f>
        <v>TRC</v>
      </c>
      <c r="F70" s="137" t="str">
        <f>IF(FN_MC!M72="","*",FN_MC!M72)</f>
        <v>TVI-TJA</v>
      </c>
      <c r="G70" s="121" t="str">
        <f>IF(FN_MC!I72="","*",FN_MC!I72)</f>
        <v>TRC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>
        <f>IF(FN_MC!B74="","*",FN_MC!B74)</f>
        <v>46028</v>
      </c>
      <c r="D72" s="121" t="str">
        <f>IF(FN_MC!D74="","*",FN_MC!D74)</f>
        <v>TP-492</v>
      </c>
      <c r="E72" s="121" t="str">
        <f>IF(FN_MC!H74="","*",FN_MC!H74)</f>
        <v>TLA350</v>
      </c>
      <c r="F72" s="137" t="str">
        <f>IF(FN_MC!M74="","*",FN_MC!M74)</f>
        <v>TLA-TSE</v>
      </c>
      <c r="G72" s="121" t="str">
        <f>IF(FN_MC!I74="","*",FN_MC!I74)</f>
        <v>-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>
        <f>IF(FN_MC!B75="","*",FN_MC!B75)</f>
        <v>46028</v>
      </c>
      <c r="D73" s="121" t="str">
        <f>IF(FN_MC!D75="","*",FN_MC!D75)</f>
        <v>A60</v>
      </c>
      <c r="E73" s="121" t="str">
        <f>IF(FN_MC!H75="","*",FN_MC!H75)</f>
        <v>TCS</v>
      </c>
      <c r="F73" s="137" t="str">
        <f>IF(FN_MC!M75="","*",FN_MC!M75)</f>
        <v>TRC</v>
      </c>
      <c r="G73" s="121" t="str">
        <f>IF(FN_MC!I75="","*",FN_MC!I75)</f>
        <v>TAG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>
        <f>IF(FN_MC!B77="","*",FN_MC!B77)</f>
        <v>46028</v>
      </c>
      <c r="D75" s="121" t="str">
        <f>IF(FN_MC!D77="","*",FN_MC!D77)</f>
        <v>W50</v>
      </c>
      <c r="E75" s="121" t="str">
        <f>IF(FN_MC!H77="","*",FN_MC!H77)</f>
        <v>TCS2</v>
      </c>
      <c r="F75" s="137" t="str">
        <f>IF(FN_MC!M77="","*",FN_MC!M77)</f>
        <v>TID-TVI</v>
      </c>
      <c r="G75" s="121" t="str">
        <f>IF(FN_MC!I77="","*",FN_MC!I77)</f>
        <v>TCS2</v>
      </c>
      <c r="H75" s="121" t="str">
        <f>IF(FN_MC!AB77="","*",FN_MC!AB77)</f>
        <v>ESCALA</v>
      </c>
      <c r="I75" s="121" t="str">
        <f>IF(FN_MC!AC77="","*",FN_MC!AC77)</f>
        <v>*</v>
      </c>
      <c r="J75" s="122">
        <f>IF(FN_MC!AA77="","*",FN_MC!AA77)</f>
        <v>2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46028</v>
      </c>
      <c r="D77" s="121" t="str">
        <f>IF(FN_MC!D79="","*",FN_MC!D79)</f>
        <v>V42</v>
      </c>
      <c r="E77" s="121" t="str">
        <f>IF(FN_MC!H79="","*",FN_MC!H79)</f>
        <v>ZGT1</v>
      </c>
      <c r="F77" s="137" t="str">
        <f>IF(FN_MC!M79="","*",FN_MC!M79)</f>
        <v>ZRI</v>
      </c>
      <c r="G77" s="121" t="str">
        <f>IF(FN_MC!I79="","*",FN_MC!I79)</f>
        <v>ZGT1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46028</v>
      </c>
      <c r="D79" s="121" t="str">
        <f>IF(FN_MC!D81="","*",FN_MC!D81)</f>
        <v>E40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2026-01-05T16:58:51Z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