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83" documentId="8_{B6337239-1A00-434D-AAD0-422EA1FEB5AE}" xr6:coauthVersionLast="47" xr6:coauthVersionMax="47" xr10:uidLastSave="{D4D7A737-BE2A-40C0-B7DC-6DA99F415AC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7" i="1" l="1" a="1"/>
  <c r="N77" i="1"/>
  <c r="N78" i="1" a="1"/>
  <c r="N78" i="1"/>
  <c r="M77" i="1" a="1"/>
  <c r="M77" i="1"/>
  <c r="M78" i="1" a="1"/>
  <c r="M78" i="1"/>
  <c r="M75" i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<sst xmlns="http://schemas.openxmlformats.org/spreadsheetml/2006/main" count="4786" uniqueCount="1339">
  <si>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</si>
  <si>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</si>
  <si>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</si>
  <si>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</si>
  <si>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</si>
  <si>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</si>
  <si>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</si>
  <si>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</si>
  <si>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</si>
  <si>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</si>
  <si>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</si>
  <si>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</si>
  <si>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</si>
  <si>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</si>
  <si>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</si>
  <si>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</si>
  <si>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</si>
  <si>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</si>
  <si>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</si>
  <si>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</si>
  <si>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</si>
  <si>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</si>
  <si>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</si>
  <si>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</si>
  <si>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</si>
  <si>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</si>
  <si>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</si>
  <si>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</si>
  <si>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</si>
  <si>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</si>
  <si>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</si>
  <si>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</si>
  <si>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</si>
  <si>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</si>
  <si>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</si>
  <si>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</si>
  <si>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</si>
  <si>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</si>
  <si>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</si>
  <si>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</si>
  <si>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</si>
  <si>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</si>
  <si>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</si>
  <si>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</si>
  <si>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</si>
  <si>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</si>
  <si>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</si>
  <si>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</si>
  <si>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</si>
  <si>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</si>
  <si>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</si>
  <si>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</si>
  <si>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</si>
  <si>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</si>
  <si>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</si>
  <si>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</si>
  <si>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</si>
  <si>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</si>
  <si>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</si>
  <si>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</si>
  <si>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</si>
  <si>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</si>
  <si>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</si>
  <si>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</si>
  <si>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</si>
  <si>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</si>
  <si>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</si>
  <si>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</si>
  <si>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</si>
  <si>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</si>
  <si>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</si>
  <si>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</si>
  <si>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</si>
  <si>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</si>
  <si>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</si>
  <si>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</si>
  <si>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</si>
  <si>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</si>
  <si>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</si>
  <si>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</si>
  <si>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</si>
  <si>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</si>
  <si>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</si>
  <si>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</si>
  <si>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</si>
  <si>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</si>
  <si>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</si>
  <si>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</si>
  <si>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</si>
  <si>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</si>
  <si>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</si>
  <si>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</si>
  <si>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</si>
  <si>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</si>
  <si>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</si>
  <si>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</si>
  <si>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</si>
  <si>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</si>
  <si>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</si>
  <si>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</si>
  <si>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</si>
  <si>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</si>
  <si>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</si>
  <si>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</si>
  <si>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</si>
  <si>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</si>
  <si>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</si>
  <si>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</si>
  <si>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</si>
  <si>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</si>
  <si>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</si>
  <si>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</si>
  <si>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</si>
  <si>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</si>
  <si>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</si>
  <si>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</si>
  <si>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</si>
  <si>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</si>
  <si>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</si>
  <si>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</si>
  <si>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</si>
  <si>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</si>
  <si>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</si>
  <si>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</si>
  <si>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</si>
  <si>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</si>
  <si>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</si>
  <si>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</si>
  <si>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</si>
  <si>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</si>
  <si>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</si>
  <si>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</si>
  <si>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</si>
  <si>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</si>
  <si>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</si>
  <si>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</si>
  <si>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</si>
  <si>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</si>
  <si>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</si>
  <si>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</si>
  <si>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</si>
  <si>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</si>
  <si>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</si>
  <si>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</si>
  <si>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</si>
  <si>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</si>
  <si>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</si>
  <si>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</si>
  <si>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</si>
  <si>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</si>
  <si>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</si>
  <si>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</si>
  <si>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</si>
  <si>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</si>
  <si>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</si>
  <si>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</si>
  <si>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</si>
  <si>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</si>
  <si>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</si>
  <si>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</si>
  <si>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</si>
  <si>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</si>
  <si>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</si>
  <si>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</si>
  <si>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</si>
  <si>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</si>
  <si>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</si>
  <si>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</si>
  <si>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</si>
  <si>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</si>
  <si>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</si>
  <si>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</si>
  <si>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</si>
  <si>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</si>
  <si>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</si>
  <si>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</si>
  <si>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</si>
  <si>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</si>
  <si>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</si>
  <si>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</si>
  <si>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</si>
  <si>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</si>
  <si>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</si>
  <si>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</si>
  <si>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</si>
  <si>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</si>
  <si>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</si>
  <si>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</si>
  <si>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</si>
  <si>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</si>
  <si>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</si>
  <si>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</si>
  <si>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</si>
  <si>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</si>
  <si>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</si>
  <si>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</si>
  <si>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</si>
  <si>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</si>
  <si>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</si>
  <si>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</si>
  <si>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</si>
  <si>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</si>
  <si>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</si>
  <si>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</si>
  <si>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</si>
  <si>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</si>
  <si>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</si>
  <si>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</si>
  <si>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</si>
  <si>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</si>
  <si>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</si>
  <si>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</si>
  <si>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</si>
  <si>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</si>
  <si>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</si>
  <si>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</si>
  <si>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</si>
  <si>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</si>
  <si>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</si>
  <si>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</si>
  <si>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</si>
  <si>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</si>
  <si>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</si>
  <si>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</si>
  <si>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</si>
  <si>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</si>
  <si>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</si>
  <si>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</si>
  <si>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</si>
  <si>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</si>
  <si>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</si>
  <si>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</si>
  <si>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</si>
  <si>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</si>
  <si>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</si>
  <si>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</si>
  <si>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</si>
  <si>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</si>
  <si>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</si>
  <si>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</si>
  <si>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</si>
  <si>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</si>
  <si>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</si>
  <si>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</si>
  <si>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</si>
  <si>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</si>
  <si>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</si>
  <si>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</si>
  <si>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</si>
  <si>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</si>
  <si>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</si>
  <si>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</si>
  <si>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</si>
  <si>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</si>
  <si>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</si>
  <si>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</si>
  <si>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</si>
  <si>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</si>
  <si>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</si>
  <si>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</si>
  <si>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</si>
  <si>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</si>
  <si>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</si>
  <si>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</si>
  <si>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</si>
  <si>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</si>
  <si>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</si>
  <si>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</si>
  <si>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</si>
  <si>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</si>
  <si>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</si>
  <si>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</si>
  <si>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</si>
  <si>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</si>
  <si>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</si>
  <si>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</si>
  <si>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</si>
  <si>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</si>
  <si>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</si>
  <si>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</si>
  <si>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</si>
  <si>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</si>
  <si>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</si>
  <si>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</si>
  <si>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</si>
  <si>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</si>
  <si>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</si>
  <si>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</si>
  <si>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</si>
  <si>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</si>
  <si>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</si>
  <si>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</si>
  <si>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</si>
  <si>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</si>
  <si>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</si>
  <si>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</si>
  <si>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</si>
  <si>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</si>
  <si>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</si>
  <si>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</si>
  <si>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</si>
  <si>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</si>
  <si>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</si>
  <si>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</si>
  <si>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</si>
  <si>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</si>
  <si>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</si>
  <si>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</si>
  <si>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</si>
  <si>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</si>
  <si>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</si>
  <si>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</si>
  <si>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</si>
  <si>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</si>
  <si>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</si>
  <si>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</si>
  <si>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</si>
  <si>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</si>
  <si>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</si>
  <si>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</si>
  <si>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</si>
  <si>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</si>
  <si>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</si>
  <si>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</si>
  <si>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</si>
  <si>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</si>
  <si>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</si>
  <si>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</si>
  <si>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</si>
  <si>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</si>
  <si>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</si>
  <si>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</si>
  <si>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</si>
  <si>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</si>
  <si>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</si>
  <si>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</si>
  <si>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</si>
  <si>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</si>
  <si>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</si>
  <si>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</si>
  <si>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</si>
  <si>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</si>
  <si>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</si>
  <si>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</si>
  <si>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</si>
  <si>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</si>
  <si>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</si>
  <si>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</si>
  <si>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</si>
  <si>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</si>
  <si>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</si>
  <si>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</si>
  <si>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</si>
  <si>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</si>
  <si>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</si>
  <si>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</si>
  <si>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</si>
  <si>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</si>
  <si>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</si>
  <si>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</si>
  <si>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</si>
  <si>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</si>
  <si>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</si>
  <si>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</si>
  <si>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</si>
  <si>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</si>
  <si>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</si>
  <si>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</si>
  <si>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</si>
  <si>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</si>
  <si>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</si>
  <si>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</si>
  <si>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</si>
  <si>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</si>
  <si>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</si>
  <si>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</si>
  <si>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</si>
  <si>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</si>
  <si>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</si>
  <si>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</si>
  <si>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</si>
  <si>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</si>
  <si>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</si>
  <si>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</si>
  <si>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</si>
  <si>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</si>
  <si>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</si>
  <si>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</si>
  <si>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</si>
  <si>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</si>
  <si>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</si>
  <si>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</si>
  <si>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</si>
  <si>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</si>
  <si>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</si>
  <si>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</si>
  <si>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</si>
  <si>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</si>
  <si>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</si>
  <si>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</si>
  <si>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</si>
  <si>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</si>
  <si>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</si>
  <si>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</si>
  <si>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</si>
  <si>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</si>
  <si>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</si>
  <si>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</si>
  <si>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</si>
  <si>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</si>
  <si>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</si>
  <si>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</si>
  <si>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</si>
  <si>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</si>
  <si>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</si>
  <si>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</si>
  <si>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</si>
  <si>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</si>
  <si>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</si>
  <si>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</si>
  <si>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</si>
  <si>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</si>
  <si>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</si>
  <si>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</si>
  <si>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</si>
  <si>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</si>
  <si>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</si>
  <si>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</si>
  <si>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</si>
  <si>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</si>
  <si>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</si>
  <si>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</si>
  <si>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</si>
  <si>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</si>
  <si>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</si>
  <si>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</si>
  <si>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</si>
  <si>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</si>
  <si>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</si>
  <si>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</si>
  <si>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</si>
  <si>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</si>
  <si>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</si>
  <si>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</si>
  <si>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</si>
  <si>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</si>
  <si>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</si>
  <si>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</si>
  <si>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</si>
  <si>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</si>
  <si>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</si>
  <si>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</si>
  <si>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</si>
  <si>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</si>
  <si>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</si>
  <si>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</si>
  <si>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</si>
  <si>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</si>
  <si>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</si>
  <si>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</si>
  <si>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</si>
  <si>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</si>
  <si>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</si>
  <si>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</si>
  <si>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</si>
  <si>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</si>
  <si>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</si>
  <si>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</si>
  <si>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</si>
  <si>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</si>
  <si>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</si>
  <si>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</si>
  <si>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</si>
  <si>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</si>
  <si>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</si>
  <si>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</si>
  <si>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</si>
  <si>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</si>
  <si>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</si>
  <si>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</si>
  <si>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</si>
  <si>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</si>
  <si>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</si>
  <si>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</si>
  <si>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</si>
  <si>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</si>
  <si>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</si>
  <si>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</si>
  <si>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</si>
  <si>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</si>
  <si>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</si>
  <si>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</si>
  <si>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</si>
  <si>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</si>
  <si>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</si>
  <si>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</si>
  <si>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</si>
  <si>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</si>
  <si>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</si>
  <si>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</si>
  <si>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</si>
  <si>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</si>
  <si>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</si>
  <si>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</si>
  <si>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</si>
  <si>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</si>
  <si>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</si>
  <si>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</si>
  <si>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</si>
  <si>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</si>
  <si>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</si>
  <si>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</si>
  <si>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</si>
  <si>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</si>
  <si>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</si>
  <si>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</si>
  <si>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</si>
  <si>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</si>
  <si>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</si>
  <si>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</si>
  <si>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</si>
  <si>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</si>
  <si>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</si>
  <si>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</si>
  <si>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</si>
  <si>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</si>
  <si>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</si>
  <si>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</si>
  <si>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</si>
  <si>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</si>
  <si>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</si>
  <si>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</si>
  <si>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</si>
  <si>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</si>
  <si>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</si>
  <si>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</si>
  <si>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</si>
  <si>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</si>
  <si>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</si>
  <si>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</si>
  <si>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</si>
  <si>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</si>
  <si>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</si>
  <si>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</si>
  <si>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</si>
  <si>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</si>
  <si>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</si>
  <si>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</si>
  <si>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</si>
  <si>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</si>
  <si>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</si>
  <si>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</si>
  <si>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</si>
  <si>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</si>
  <si>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</si>
  <si>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</si>
  <si>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</si>
  <si>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</si>
  <si>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</si>
  <si>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</si>
  <si>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</si>
  <si>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</si>
  <si>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</si>
  <si>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</si>
  <si>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</si>
  <si>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</si>
  <si>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</si>
  <si>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</si>
  <si>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</si>
  <si>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</si>
  <si>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</si>
  <si>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</si>
  <si>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</si>
  <si>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</si>
  <si>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</si>
  <si>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</si>
  <si>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</si>
  <si>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</si>
  <si>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</si>
  <si>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</si>
  <si>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</si>
  <si>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</si>
  <si>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</si>
  <si>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</si>
  <si>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</si>
  <si>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</si>
  <si>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</si>
  <si>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</si>
  <si>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</si>
  <si>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</si>
  <si>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</si>
  <si>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</si>
  <si>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</si>
  <si>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</si>
  <si>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</si>
  <si>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</si>
  <si>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</si>
  <si>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</si>
  <si>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</si>
  <si>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</si>
  <si>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</si>
  <si>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</si>
  <si>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</si>
  <si>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</si>
  <si>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</si>
  <si>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</si>
  <si>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</si>
  <si>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</si>
  <si>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</si>
  <si>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</si>
  <si>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</si>
  <si>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</si>
  <si>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</si>
  <si>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</si>
  <si>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</si>
  <si>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</si>
  <si>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</si>
  <si>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</si>
  <si>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</si>
  <si>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</si>
  <si>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</si>
  <si>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</si>
  <si>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</si>
  <si>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</si>
  <si>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</si>
  <si>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</si>
  <si>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</si>
  <si>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</si>
  <si>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</si>
  <si>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</si>
  <si>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</si>
  <si>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</si>
  <si>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</si>
  <si>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</si>
  <si>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</si>
  <si>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</si>
  <si>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</si>
  <si>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</si>
  <si>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</si>
  <si>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</si>
  <si>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</si>
  <si>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</si>
  <si>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</si>
  <si>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</si>
  <si>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</si>
  <si>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</si>
  <si>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</si>
  <si>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</si>
  <si>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</si>
  <si>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</si>
  <si>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</si>
  <si>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</si>
  <si>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</si>
  <si>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</si>
  <si>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</si>
  <si>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</si>
  <si>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</si>
  <si>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</si>
  <si>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</si>
  <si>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</si>
  <si>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</si>
  <si>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</si>
  <si>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</si>
  <si>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</si>
  <si>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</si>
  <si>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</si>
  <si>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</si>
  <si>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</si>
  <si>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</si>
  <si>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</si>
  <si>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</si>
  <si>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</si>
  <si>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</si>
  <si>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</si>
  <si>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</si>
  <si>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</si>
  <si>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</si>
  <si>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</si>
  <si>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</si>
  <si>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</si>
  <si>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</si>
  <si>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</si>
  <si>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</si>
  <si>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</si>
  <si>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</si>
  <si>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</si>
  <si>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</si>
  <si>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</si>
  <si>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</si>
  <si>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</si>
  <si>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</si>
  <si>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</si>
  <si>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</si>
  <si>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</si>
  <si>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</si>
  <si>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</si>
  <si>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</si>
  <si>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</si>
  <si>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</si>
  <si>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</si>
  <si>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</si>
  <si>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</si>
  <si>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</si>
  <si>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</si>
  <si>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</si>
  <si>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</si>
  <si>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</si>
  <si>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</si>
  <si>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</si>
  <si>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</si>
  <si>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</si>
  <si>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</si>
  <si>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</si>
  <si>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</si>
  <si>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</si>
  <si>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</si>
  <si>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</si>
  <si>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</si>
  <si>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</si>
  <si>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</si>
  <si>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</si>
  <si>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</si>
  <si>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</si>
  <si>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</si>
  <si>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</si>
  <si>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</si>
  <si>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</si>
  <si>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</si>
  <si>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</si>
  <si>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</si>
  <si>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</si>
  <si>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</si>
  <si>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</si>
  <si>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</si>
  <si>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</si>
  <si>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</si>
  <si>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</si>
  <si>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</si>
  <si>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</si>
  <si>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</si>
  <si>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</si>
  <si>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</si>
  <si>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</si>
  <si>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</si>
  <si>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</si>
  <si>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</si>
  <si>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</si>
  <si>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</si>
  <si>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</si>
  <si>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</si>
  <si>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</si>
  <si>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</si>
  <si>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</si>
  <si>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</si>
  <si>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</si>
  <si>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</si>
  <si>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</si>
  <si>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</si>
  <si>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</si>
  <si>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</si>
  <si>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</si>
  <si>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</si>
  <si>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</si>
  <si>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</si>
  <si>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</si>
  <si>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</si>
  <si>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</si>
  <si>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</si>
  <si>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</si>
  <si>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</si>
  <si>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</si>
  <si>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</si>
  <si>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</si>
  <si>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</si>
  <si>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</si>
  <si>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</si>
  <si>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</si>
  <si>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</si>
  <si>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</si>
  <si>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</si>
  <si>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</si>
  <si>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</si>
  <si>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</si>
  <si>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</si>
  <si>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</si>
  <si>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</si>
  <si>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</si>
  <si>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</si>
  <si>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</si>
  <si>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</si>
  <si>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</si>
  <si>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</si>
  <si>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</si>
  <si>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</si>
  <si>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</si>
  <si>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</si>
  <si>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</si>
  <si>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</si>
  <si>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</si>
  <si>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</si>
  <si>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</si>
  <si>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</si>
  <si>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</si>
  <si>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</si>
  <si>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</si>
  <si>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</si>
  <si>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</si>
  <si>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</si>
  <si>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</si>
  <si>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</si>
  <si>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</si>
  <si>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</si>
  <si>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</si>
  <si>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</si>
  <si>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</si>
  <si>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</si>
  <si>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</si>
  <si>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</si>
  <si>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</si>
  <si>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</si>
  <si>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</si>
  <si>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</si>
  <si>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</si>
  <si>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</si>
  <si>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</si>
  <si>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</si>
  <si>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</si>
  <si>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</si>
  <si>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</si>
  <si>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</si>
  <si>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</si>
  <si>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</si>
  <si>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</si>
  <si>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</si>
  <si>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</si>
  <si>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</si>
  <si>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</si>
  <si>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</si>
  <si>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</si>
  <si>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</si>
  <si>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</si>
  <si>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</si>
  <si>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</si>
  <si>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</si>
  <si>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</si>
  <si>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</si>
  <si>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</si>
  <si>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</si>
  <si>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</si>
  <si>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</si>
  <si>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</si>
  <si>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</si>
  <si>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</si>
  <si>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</si>
  <si>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</si>
  <si>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</si>
  <si>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</si>
  <si>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</si>
  <si>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</si>
  <si>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</si>
  <si>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</si>
  <si>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</si>
  <si>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</si>
  <si>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</si>
  <si>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</si>
  <si>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</si>
  <si>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</si>
  <si>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</si>
  <si>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</si>
  <si>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</si>
  <si>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</si>
  <si>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</si>
  <si>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</si>
  <si>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</si>
  <si>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</si>
  <si>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</si>
  <si>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</si>
  <si>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</si>
  <si>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</si>
  <si>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</si>
  <si>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</si>
  <si>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</si>
  <si>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</si>
  <si>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</si>
  <si>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</si>
  <si>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</si>
  <si>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</si>
  <si>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</si>
  <si>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</si>
  <si>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</si>
  <si>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</si>
  <si>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</si>
  <si>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</si>
  <si>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</si>
  <si>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</si>
  <si>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</si>
  <si>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</si>
  <si>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</si>
  <si>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</si>
  <si>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</si>
  <si>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</si>
  <si>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</si>
  <si>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</si>
  <si>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</si>
  <si>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</si>
  <si>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</si>
  <si>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</si>
  <si>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</si>
  <si>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</si>
  <si>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</si>
  <si>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</si>
  <si>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</si>
  <si>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</si>
  <si>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</si>
  <si>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</si>
  <si>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</si>
  <si>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</si>
  <si>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</si>
  <si>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</si>
  <si>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</si>
  <si>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</si>
  <si>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</si>
  <si>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</si>
  <si>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</si>
  <si>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</si>
  <si>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</si>
  <si>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</si>
  <si>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</si>
  <si>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</si>
  <si>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</si>
  <si>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</si>
  <si>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</si>
  <si>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</si>
  <si>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</si>
  <si>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</si>
  <si>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</si>
  <si>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</si>
  <si>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</si>
  <si>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</si>
  <si>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</si>
  <si>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</si>
  <si>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</si>
  <si>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</si>
  <si>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</si>
  <si>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</si>
  <si>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</si>
  <si>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</si>
  <si>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</si>
  <si>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</si>
  <si>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</si>
  <si>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</si>
  <si>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</si>
  <si>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</si>
  <si>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</si>
  <si>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</si>
  <si>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</si>
  <si>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</si>
  <si>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</si>
  <si>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</si>
  <si>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</si>
  <si>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</si>
  <si>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</si>
  <si>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</si>
  <si>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</si>
  <si>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</si>
  <si>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</si>
  <si>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</si>
  <si>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</si>
  <si>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</si>
  <si>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</si>
  <si>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</si>
  <si>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</si>
  <si>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</si>
  <si>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</si>
  <si>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</si>
  <si>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</si>
  <si>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</si>
  <si>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</si>
  <si>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</si>
  <si>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</si>
  <si>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</si>
  <si>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</si>
  <si>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</si>
  <si>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</si>
  <si>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</si>
  <si>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</si>
  <si>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</si>
  <si>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</si>
  <si>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</si>
  <si>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</si>
  <si>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</si>
  <si>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</si>
  <si>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</si>
  <si>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</si>
  <si>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</si>
  <si>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</si>
  <si>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</si>
  <si>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</si>
  <si>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</si>
  <si>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</si>
  <si>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</si>
  <si>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</si>
  <si>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</si>
  <si>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</si>
  <si>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</si>
  <si>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</si>
  <si>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</si>
  <si>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</si>
  <si>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</si>
  <si>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</si>
  <si>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</si>
  <si>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</si>
  <si>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</si>
  <si>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</si>
  <si>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</si>
  <si>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</si>
  <si>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</si>
  <si>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</si>
  <si>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</si>
  <si>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</si>
  <si>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</si>
  <si>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</si>
  <si>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</si>
  <si>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</si>
  <si>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</si>
  <si>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</si>
  <si>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</si>
  <si>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</si>
  <si>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</si>
  <si>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</si>
  <si>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</si>
  <si>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</si>
  <si>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</si>
  <si>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</si>
  <si>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</si>
  <si>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</si>
  <si>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</si>
  <si>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</si>
  <si>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</si>
  <si>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</si>
  <si>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</si>
  <si>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</si>
  <si>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</si>
  <si>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</si>
  <si>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</si>
  <si>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</si>
  <si>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</si>
  <si>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</si>
  <si>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</si>
  <si>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</si>
  <si>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</si>
  <si>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</si>
  <si>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</si>
  <si>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</si>
  <si>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</si>
  <si>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</si>
  <si>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</si>
  <si>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</si>
  <si>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</si>
  <si>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</si>
  <si>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</si>
  <si>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</si>
  <si>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</si>
  <si>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</si>
  <si>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</si>
  <si>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</si>
  <si>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</si>
  <si>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</si>
  <si>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</si>
  <si>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</si>
  <si>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</si>
  <si>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</si>
  <si>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</si>
  <si>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</si>
  <si>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</si>
  <si>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</si>
  <si>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</si>
  <si>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</si>
  <si>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</si>
  <si>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</si>
  <si>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</si>
  <si>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</si>
  <si>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</si>
  <si>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</si>
  <si>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</si>
  <si>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</si>
  <si>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</si>
  <si>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</si>
  <si>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</si>
  <si>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</si>
  <si>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</si>
  <si>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</si>
  <si>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</si>
  <si>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</si>
  <si>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</si>
  <si>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</si>
  <si>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</si>
  <si>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</si>
  <si>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</si>
  <si>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</si>
  <si>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</si>
  <si>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</si>
  <si>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</si>
  <si>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</si>
  <si>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</si>
  <si>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</si>
  <si>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</si>
  <si>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</si>
  <si>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</si>
  <si>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</si>
  <si>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</si>
  <si>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</si>
  <si>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</si>
  <si>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</si>
  <si>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</si>
  <si>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</si>
  <si>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</si>
  <si>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</si>
  <si>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</si>
  <si>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</si>
  <si>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</si>
  <si>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</si>
  <si>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</si>
  <si>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</si>
  <si>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</si>
  <si>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</si>
  <si>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</si>
  <si>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</si>
  <si>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</si>
  <si>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</si>
  <si>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</si>
  <si>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</si>
  <si>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</si>
  <si>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</si>
  <si>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</si>
  <si>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</si>
  <si>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</si>
  <si>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</si>
  <si>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</si>
  <si>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</si>
  <si>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</si>
  <si>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</si>
  <si>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</si>
  <si>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</si>
  <si>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</si>
  <si>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</si>
  <si>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</si>
  <si>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</si>
  <si>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</si>
  <si>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</si>
  <si>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</si>
  <si>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</si>
  <si>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</si>
  <si>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</si>
  <si>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</si>
  <si>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</si>
  <si>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</si>
  <si>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</si>
  <si>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</si>
  <si>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</si>
  <si>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</si>
  <si>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</si>
  <si>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</si>
  <si>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</si>
  <si>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</si>
  <si>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</si>
  <si>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</si>
  <si>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</si>
  <si>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</si>
  <si>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</si>
  <si>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</si>
  <si>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</si>
  <si>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</si>
  <si>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</si>
  <si>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</si>
  <si>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</si>
  <si>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</si>
  <si>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</si>
  <si>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</si>
  <si>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</si>
  <si>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</si>
  <si>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</si>
  <si>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</si>
  <si>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</si>
  <si>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</si>
  <si>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</si>
  <si>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</si>
  <si>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</si>
  <si>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</si>
  <si>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</si>
  <si>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</si>
  <si>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</si>
  <si>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</si>
  <si>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</si>
  <si>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</si>
  <si>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</si>
  <si>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</si>
  <si>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</si>
  <si>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</si>
  <si>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</si>
  <si>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</si>
  <si>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</si>
  <si>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</si>
  <si>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</si>
  <si>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</si>
  <si>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</si>
  <si>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</si>
  <si>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</si>
  <si>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</si>
  <si>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</si>
  <si>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</si>
  <si>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</si>
  <si>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</si>
  <si>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</si>
  <si>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</si>
  <si>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</si>
  <si>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</si>
  <si>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</si>
  <si>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</si>
  <si>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</si>
  <si>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</si>
  <si>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</si>
  <si>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</si>
  <si>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</si>
  <si>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</si>
  <si>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</si>
  <si>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</si>
  <si>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</si>
  <si>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</si>
  <si>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</si>
  <si>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</si>
  <si>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</si>
  <si>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</si>
  <si>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</si>
  <si>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</si>
  <si>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</si>
  <si>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</si>
  <si>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</si>
  <si>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</si>
  <si>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</si>
  <si>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</si>
  <si>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</si>
  <si>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</si>
  <si>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</si>
  <si>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</si>
  <si>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</si>
  <si>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</si>
  <si>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</si>
  <si>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</si>
  <si>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</si>
  <si>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</si>
  <si>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</si>
  <si>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</si>
  <si>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</si>
  <si>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</si>
  <si>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</si>
  <si>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</si>
  <si>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</si>
  <si>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</si>
  <si>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</si>
  <si>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</si>
  <si>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</si>
  <si>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</si>
  <si>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</si>
  <si>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</si>
  <si>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</si>
  <si>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</si>
  <si>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</si>
  <si>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</si>
  <si>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</si>
  <si>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</si>
  <si>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</si>
  <si>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</si>
  <si>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</si>
  <si>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</si>
  <si>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</si>
  <si>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</si>
  <si>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</si>
  <si>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</si>
  <si>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</si>
  <si>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</si>
  <si>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TVITJA</t>
  </si>
  <si>
    <t>TP-492</t>
  </si>
  <si>
    <t>Troca de dormente em ponte</t>
  </si>
  <si>
    <t>Hebert</t>
  </si>
  <si>
    <t>Augusto</t>
  </si>
  <si>
    <t>Descarga de dormente</t>
  </si>
  <si>
    <t>ZTO</t>
  </si>
  <si>
    <t>ZTP-ZTO</t>
  </si>
  <si>
    <t>ZTPZTO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</si>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</sst>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L71" activePane="bottomRight" state="frozen"/>
      <selection pane="bottomRight" activeCell="Q77" sqref="Q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 t="s">
        <v>1272</v>
      </c>
      <c r="BL63" s="15"/>
      <c r="BM63" s="14" t="s">
        <v>981</v>
      </c>
      <c r="BN63" s="14" t="s">
        <v>981</v>
      </c>
      <c r="BO63" s="165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1275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1276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1277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735</v>
      </c>
      <c r="L69" s="83">
        <v>732</v>
      </c>
      <c r="M69" s="204" t="s">
        <v>1278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 t="s">
        <v>1220</v>
      </c>
      <c r="W69" s="173" t="s">
        <v>1279</v>
      </c>
      <c r="X69" s="218" t="s">
        <v>952</v>
      </c>
      <c r="Y69" s="158"/>
      <c r="Z69" s="158"/>
      <c r="AA69" s="83" t="s">
        <v>1280</v>
      </c>
      <c r="AB69" s="70" t="s">
        <v>959</v>
      </c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>
        <f>IF(BS_CONTROLE[[#This Row],[SB]]=0, "-", BS_CONTROLE[[#This Row],[SB]])</f>
        <v>732744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735</v>
      </c>
      <c r="AQ69" s="286">
        <f>IF(BS_CONTROLE[[#This Row],[KM - Fim]]=0, "-", BS_CONTROLE[[#This Row],[KM - Fim]])</f>
        <v>732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Heldo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 t="s">
        <v>1231</v>
      </c>
      <c r="W70" s="173" t="s">
        <v>1275</v>
      </c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Silmara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 t="s">
        <v>1231</v>
      </c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Silmara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1281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 t="s">
        <v>1240</v>
      </c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PCM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1282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 t="s">
        <v>1283</v>
      </c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A6046028</v>
      </c>
      <c r="B75" s="171">
        <v>46028</v>
      </c>
      <c r="C75" s="8">
        <f>IF(BS_CONTROLE[[#This Row],[DATA]]="","",WEEKNUM(BS_CONTROLE[[#This Row],[DATA]]))</f>
        <v>2</v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 t="s">
        <v>1284</v>
      </c>
      <c r="W75" s="173" t="s">
        <v>1275</v>
      </c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Hebert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e">
        <f t="shared" si="8"/>
        <v>#DIV/0!</v>
      </c>
      <c r="BR75" s="18" t="e">
        <f t="shared" si="9"/>
        <v>#DIV/0!</v>
      </c>
      <c r="BS75" s="18" t="e">
        <f t="shared" si="10"/>
        <v>#DIV/0!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W5046028</v>
      </c>
      <c r="B77" s="171">
        <v>46028</v>
      </c>
      <c r="C77" s="8">
        <f>IF(BS_CONTROLE[[#This Row],[DATA]]="","",WEEKNUM(BS_CONTROLE[[#This Row],[DATA]]))</f>
        <v>2</v>
      </c>
      <c r="D77" s="51" t="s">
        <v>230</v>
      </c>
      <c r="E77" s="320"/>
      <c r="F77" s="172" t="s">
        <v>134</v>
      </c>
      <c r="G77" s="9" t="str">
        <f>IF(D77="","*",VLOOKUP(F77,BS_ATIVIDADE[#All],3,FALSE))</f>
        <v>MODERNIZAÇÃO</v>
      </c>
      <c r="H77" s="173" t="s">
        <v>610</v>
      </c>
      <c r="I77" s="173" t="s">
        <v>610</v>
      </c>
      <c r="J77" s="217">
        <v>74</v>
      </c>
      <c r="K77" s="217">
        <v>215</v>
      </c>
      <c r="L77" s="83">
        <v>213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7" s="173">
        <v>0.375</v>
      </c>
      <c r="P77" s="173">
        <v>0.16666666666666666</v>
      </c>
      <c r="Q77" s="83"/>
      <c r="R77" s="10" t="str">
        <f>IFERROR(_xlfn.XLOOKUP(F77, BS_ATIVIDADE[ATIVIDADE],BS_ATIVIDADE[UNIDADE] ), "*")</f>
        <v>Nº DE DORMENTES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0" t="str">
        <f>IFERROR(_xlfn.XLOOKUP(J77, BASE_MAPA!$E$2:$E$359, BASE_MAPA!$J$2:$J$359), "ERRO")</f>
        <v>MARCO INICIAL - ALTO ARAGUAIA</v>
      </c>
      <c r="V77" s="198" t="s">
        <v>1285</v>
      </c>
      <c r="W77" s="173" t="s">
        <v>1286</v>
      </c>
      <c r="X77" s="218" t="s">
        <v>957</v>
      </c>
      <c r="Y77" s="158"/>
      <c r="Z77" s="158"/>
      <c r="AA77" s="83">
        <v>2</v>
      </c>
      <c r="AB77" s="70" t="s">
        <v>954</v>
      </c>
      <c r="AC77" s="70"/>
      <c r="AD77" s="173">
        <v>0.29166666666666669</v>
      </c>
      <c r="AE77" s="83"/>
      <c r="AF77" s="83"/>
      <c r="AG77" s="83"/>
      <c r="AH77" s="48"/>
      <c r="AI77" s="142" t="str">
        <f>IF(BS_CONTROLE[[#This Row],[Atividade]]=0, "-", BS_CONTROLE[[#This Row],[Atividade]])</f>
        <v>MODERNIZAÇÃO - DORMENTE - DESCARGA</v>
      </c>
      <c r="AJ77" s="9" t="str">
        <f>IF(D77="","*",VLOOKUP(AI77,BS_ATIVIDADE[#Data],3,FALSE))</f>
        <v>MODERNIZAÇÃO</v>
      </c>
      <c r="AK77" s="284" t="str">
        <f>IF(BS_CONTROLE[[#This Row],[Local - Partida]]=0, "-", BS_CONTROLE[[#This Row],[Local - Partida]])</f>
        <v>TCS2</v>
      </c>
      <c r="AL77" s="284" t="str">
        <f>IF(BS_CONTROLE[[#This Row],[Local - Encerramento]]=0, "-", BS_CONTROLE[[#This Row],[Local - Encerramento]])</f>
        <v>TCS2</v>
      </c>
      <c r="AM77" s="284" t="str">
        <f>IF(BS_CONTROLE[[#This Row],[Entre - Estações]]=0, "-", BS_CONTROLE[[#This Row],[Entre - Estações]])</f>
        <v>TID-TVI</v>
      </c>
      <c r="AN77" s="284" t="str">
        <f>IF(BS_CONTROLE[[#This Row],[SB]]=0, "-", BS_CONTROLE[[#This Row],[SB]])</f>
        <v>213TVI</v>
      </c>
      <c r="AO77" s="285">
        <f>IF(BS_CONTROLE[[#This Row],[SUB]]=0, "-", BS_CONTROLE[[#This Row],[SUB]])</f>
        <v>74</v>
      </c>
      <c r="AP77" s="286">
        <f>IF(BS_CONTROLE[[#This Row],[KM - Inicio]]=0, "-", BS_CONTROLE[[#This Row],[KM - Inicio]])</f>
        <v>215</v>
      </c>
      <c r="AQ77" s="286">
        <f>IF(BS_CONTROLE[[#This Row],[KM - Fim]]=0, "-", BS_CONTROLE[[#This Row],[KM - Fim]])</f>
        <v>213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Nº DE DORMENTES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7" t="str">
        <f>IF(BS_CONTROLE[[#This Row],[Responsavel pelo boletim]]=0, "-", BS_CONTROLE[[#This Row],[Responsavel pelo boletim]])</f>
        <v>Augusto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e">
        <f t="shared" si="8"/>
        <v>#DIV/0!</v>
      </c>
      <c r="BR77" s="18">
        <f t="shared" si="9"/>
        <v>0</v>
      </c>
      <c r="BS77" s="18" t="e">
        <f t="shared" si="10"/>
        <v>#DIV/0!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 t="s">
        <v>1236</v>
      </c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Ana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 t="s">
        <v>864</v>
      </c>
      <c r="I81" s="173" t="s">
        <v>1287</v>
      </c>
      <c r="J81" s="217">
        <v>78</v>
      </c>
      <c r="K81" s="217">
        <v>334</v>
      </c>
      <c r="L81" s="83">
        <v>7.5</v>
      </c>
      <c r="M81" s="204" t="s">
        <v>1288</v>
      </c>
      <c r="N81" s="204" t="s">
        <v>1289</v>
      </c>
      <c r="O81" s="173">
        <v>0.41666666666666669</v>
      </c>
      <c r="P81" s="173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ITIRAPINA - BAURU</v>
      </c>
      <c r="V81" s="198" t="s">
        <v>1240</v>
      </c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ZTP</v>
      </c>
      <c r="AL81" s="284" t="str">
        <f>IF(BS_CONTROLE[[#This Row],[Local - Encerramento]]=0, "-", BS_CONTROLE[[#This Row],[Local - Encerramento]])</f>
        <v>ZTO</v>
      </c>
      <c r="AM81" s="284" t="str">
        <f>IF(BS_CONTROLE[[#This Row],[Entre - Estações]]=0, "-", BS_CONTROLE[[#This Row],[Entre - Estações]])</f>
        <v>ZTP-ZTO</v>
      </c>
      <c r="AN81" s="284" t="str">
        <f>IF(BS_CONTROLE[[#This Row],[SB]]=0, "-", BS_CONTROLE[[#This Row],[SB]])</f>
        <v>ZTPZTO</v>
      </c>
      <c r="AO81" s="285">
        <f>IF(BS_CONTROLE[[#This Row],[SUB]]=0, "-", BS_CONTROLE[[#This Row],[SUB]])</f>
        <v>78</v>
      </c>
      <c r="AP81" s="286">
        <f>IF(BS_CONTROLE[[#This Row],[KM - Inicio]]=0, "-", BS_CONTROLE[[#This Row],[KM - Inicio]])</f>
        <v>334</v>
      </c>
      <c r="AQ81" s="286">
        <f>IF(BS_CONTROLE[[#This Row],[KM - Fim]]=0, "-", BS_CONTROLE[[#This Row],[KM - Fim]])</f>
        <v>7.5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ITIRAPINA - BAURU</v>
      </c>
      <c r="BF81" s="287" t="str">
        <f>IF(BS_CONTROLE[[#This Row],[Responsavel pelo boletim]]=0, "-", BS_CONTROLE[[#This Row],[Responsavel pelo boletim]])</f>
        <v>PCM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Produção e Intervalo</v>
      </c>
      <c r="BR81" s="18">
        <f t="shared" si="9"/>
        <v>0</v>
      </c>
      <c r="BS81" s="18">
        <f t="shared" si="10"/>
        <v>0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1290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1291</v>
      </c>
      <c r="E3" s="322" t="s">
        <v>1292</v>
      </c>
      <c r="F3" s="322" t="s">
        <v>1293</v>
      </c>
      <c r="G3" s="322" t="s">
        <v>1294</v>
      </c>
      <c r="H3" s="322" t="s">
        <v>1295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1296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1297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1298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1299</v>
      </c>
      <c r="C4" s="327" t="s">
        <v>1300</v>
      </c>
      <c r="D4" s="327" t="s">
        <v>1301</v>
      </c>
      <c r="E4" s="327" t="s">
        <v>1302</v>
      </c>
      <c r="F4" s="327" t="s">
        <v>351</v>
      </c>
      <c r="G4" s="327" t="s">
        <v>1303</v>
      </c>
      <c r="H4" s="192"/>
    </row>
    <row r="5" spans="1:8" ht="43.5">
      <c r="A5" s="192"/>
      <c r="B5" s="328" t="s">
        <v>1304</v>
      </c>
      <c r="C5" s="328">
        <v>309525</v>
      </c>
      <c r="D5" s="328" t="s">
        <v>1305</v>
      </c>
      <c r="E5" s="328" t="s">
        <v>239</v>
      </c>
      <c r="F5" s="328" t="s">
        <v>1306</v>
      </c>
      <c r="G5" s="329">
        <v>46296</v>
      </c>
      <c r="H5" s="192"/>
    </row>
    <row r="6" spans="1:8" ht="43.5">
      <c r="A6" s="192"/>
      <c r="B6" s="328" t="s">
        <v>1307</v>
      </c>
      <c r="C6" s="328">
        <v>256875</v>
      </c>
      <c r="D6" s="328" t="s">
        <v>1308</v>
      </c>
      <c r="E6" s="328" t="s">
        <v>239</v>
      </c>
      <c r="F6" s="328" t="s">
        <v>1306</v>
      </c>
      <c r="G6" s="329">
        <v>46296</v>
      </c>
      <c r="H6" s="192"/>
    </row>
    <row r="7" spans="1:8" ht="43.5">
      <c r="A7" s="192"/>
      <c r="B7" s="328" t="s">
        <v>1309</v>
      </c>
      <c r="C7" s="328">
        <v>257278</v>
      </c>
      <c r="D7" s="328" t="s">
        <v>1310</v>
      </c>
      <c r="E7" s="328" t="s">
        <v>230</v>
      </c>
      <c r="F7" s="328" t="s">
        <v>1311</v>
      </c>
      <c r="G7" s="329">
        <v>46235</v>
      </c>
      <c r="H7" s="192"/>
    </row>
    <row r="8" spans="1:8" ht="43.5">
      <c r="A8" s="192"/>
      <c r="B8" s="328" t="s">
        <v>1312</v>
      </c>
      <c r="C8" s="328">
        <v>261794</v>
      </c>
      <c r="D8" s="328" t="s">
        <v>1313</v>
      </c>
      <c r="E8" s="328" t="s">
        <v>230</v>
      </c>
      <c r="F8" s="328" t="s">
        <v>1311</v>
      </c>
      <c r="G8" s="329">
        <v>46082</v>
      </c>
      <c r="H8" s="192"/>
    </row>
    <row r="9" spans="1:8" ht="43.5">
      <c r="A9" s="192"/>
      <c r="B9" s="328" t="s">
        <v>1314</v>
      </c>
      <c r="C9" s="328">
        <v>257033</v>
      </c>
      <c r="D9" s="328" t="s">
        <v>1315</v>
      </c>
      <c r="E9" s="328" t="s">
        <v>230</v>
      </c>
      <c r="F9" s="328" t="s">
        <v>538</v>
      </c>
      <c r="G9" s="328" t="s">
        <v>1316</v>
      </c>
      <c r="H9" s="192"/>
    </row>
    <row r="10" spans="1:8" ht="43.5">
      <c r="A10" s="192"/>
      <c r="B10" s="328" t="s">
        <v>1317</v>
      </c>
      <c r="C10" s="328">
        <v>396578</v>
      </c>
      <c r="D10" s="328" t="s">
        <v>1318</v>
      </c>
      <c r="E10" s="328" t="s">
        <v>230</v>
      </c>
      <c r="F10" s="328" t="s">
        <v>538</v>
      </c>
      <c r="G10" s="328" t="s">
        <v>1316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1319</v>
      </c>
      <c r="D5" s="361"/>
      <c r="E5" s="361"/>
      <c r="F5" s="361"/>
      <c r="G5" s="361"/>
      <c r="H5" s="361"/>
      <c r="I5" s="361"/>
      <c r="J5" s="362"/>
      <c r="K5" s="363" t="s">
        <v>1320</v>
      </c>
      <c r="L5" s="364"/>
      <c r="M5" s="364"/>
      <c r="N5" s="364"/>
      <c r="O5" s="365" t="s">
        <v>1321</v>
      </c>
      <c r="P5" s="366"/>
      <c r="Q5" s="367"/>
    </row>
    <row r="6" spans="1:17" s="93" customFormat="1" ht="15.75" customHeight="1">
      <c r="A6" s="87" t="s">
        <v>1322</v>
      </c>
      <c r="B6" s="94" t="s">
        <v>1323</v>
      </c>
      <c r="C6" s="95" t="s">
        <v>1163</v>
      </c>
      <c r="D6" s="96" t="s">
        <v>1164</v>
      </c>
      <c r="E6" s="95" t="s">
        <v>1324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1325</v>
      </c>
      <c r="M6" s="139" t="s">
        <v>30</v>
      </c>
      <c r="N6" s="140" t="s">
        <v>1158</v>
      </c>
      <c r="O6" s="246" t="s">
        <v>1201</v>
      </c>
      <c r="P6" s="157"/>
      <c r="Q6" s="193" t="s">
        <v>1326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Contrato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735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735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TMI-TCS</v>
      </c>
      <c r="E79" s="99" t="str">
        <f>IF(FN_MC!D77="","*",FN_MC!D77)</f>
        <v>W50</v>
      </c>
      <c r="F79" s="99" t="str">
        <f>IF(FN_MC!H77="","*",FN_MC!H77)</f>
        <v>TCS2</v>
      </c>
      <c r="G79" s="99" t="str">
        <f>IF(FN_MC!M77="","*",FN_MC!M77)</f>
        <v>TID-TVI</v>
      </c>
      <c r="H79" s="154">
        <f>IF(FN_MC!K77="","*",FN_MC!K77)</f>
        <v>215</v>
      </c>
      <c r="I79" s="132">
        <f>IF(FN_MC!O77="","*",FN_MC!O77)</f>
        <v>0.375</v>
      </c>
      <c r="J79" s="132">
        <f>IF(FN_MC!P77="","*",FN_MC!P77)</f>
        <v>0.16666666666666666</v>
      </c>
      <c r="K79" s="141" t="str">
        <f>IF(FN_MC!AK77="","*",FN_MC!AK77)</f>
        <v>TCS2</v>
      </c>
      <c r="L79" s="141" t="str">
        <f>IF(FN_MC!AM77="","*",FN_MC!AM77)</f>
        <v>TID-TVI</v>
      </c>
      <c r="M79" s="141">
        <f>IF(FN_MC!AP77="","*",FN_MC!AP77)</f>
        <v>215</v>
      </c>
      <c r="N79" s="141" t="str">
        <f>IF(FN_MC!AM77="","*",FN_MC!AM77)</f>
        <v>TID-TVI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MALHA CENTRAL</v>
      </c>
      <c r="D83" s="99" t="str">
        <f>IF(FN_MC!T81="","*",FN_MC!T81)</f>
        <v>RAMAL</v>
      </c>
      <c r="E83" s="99" t="str">
        <f>IF(FN_MC!D81="","*",FN_MC!D81)</f>
        <v>E40</v>
      </c>
      <c r="F83" s="99" t="str">
        <f>IF(FN_MC!H81="","*",FN_MC!H81)</f>
        <v>ZTP</v>
      </c>
      <c r="G83" s="99" t="str">
        <f>IF(FN_MC!M81="","*",FN_MC!M81)</f>
        <v>ZTP-ZTO</v>
      </c>
      <c r="H83" s="154">
        <f>IF(FN_MC!K81="","*",FN_MC!K81)</f>
        <v>334</v>
      </c>
      <c r="I83" s="132">
        <f>IF(FN_MC!O81="","*",FN_MC!O81)</f>
        <v>0.41666666666666669</v>
      </c>
      <c r="J83" s="132">
        <f>IF(FN_MC!P81="","*",FN_MC!P81)</f>
        <v>4.1666666666666664E-2</v>
      </c>
      <c r="K83" s="141" t="str">
        <f>IF(FN_MC!AK81="","*",FN_MC!AK81)</f>
        <v>ZTP</v>
      </c>
      <c r="L83" s="141" t="str">
        <f>IF(FN_MC!AM81="","*",FN_MC!AM81)</f>
        <v>ZTP-ZTO</v>
      </c>
      <c r="M83" s="141">
        <f>IF(FN_MC!AP81="","*",FN_MC!AP81)</f>
        <v>334</v>
      </c>
      <c r="N83" s="141" t="str">
        <f>IF(FN_MC!AM81="","*",FN_MC!AM81)</f>
        <v>ZTP-ZTO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1327</v>
      </c>
      <c r="W1" s="373"/>
      <c r="X1" s="373"/>
      <c r="Y1" s="104"/>
    </row>
    <row r="2" spans="1:25" s="100" customFormat="1" ht="11.25" customHeight="1">
      <c r="A2" s="105" t="s">
        <v>1328</v>
      </c>
      <c r="B2" s="105" t="s">
        <v>1323</v>
      </c>
      <c r="C2" s="105" t="s">
        <v>7</v>
      </c>
      <c r="D2" s="106" t="s">
        <v>1163</v>
      </c>
      <c r="E2" s="106" t="s">
        <v>1164</v>
      </c>
      <c r="F2" s="106" t="s">
        <v>1322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Contrato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>
        <f>IF(FN_MC!N69="","*",FN_MC!N69)</f>
        <v>732744</v>
      </c>
      <c r="M67" s="111">
        <f>IF(FN_MC!J69="","*",FN_MC!J69)</f>
        <v>98</v>
      </c>
      <c r="N67" s="296">
        <f>IF(FN_MC!K69="","*",FN_MC!K69)</f>
        <v>735</v>
      </c>
      <c r="O67" s="296">
        <f>IF(FN_MC!L69="","*",FN_MC!L69)</f>
        <v>732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Heldo</v>
      </c>
      <c r="U67" s="110" t="str">
        <f>IF(FN_MC!W69="","*",FN_MC!W69)</f>
        <v>Descarga de pedra do km 735 ao 732 - retorna para TGR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Silmara</v>
      </c>
      <c r="U68" s="110" t="str">
        <f>IF(FN_MC!W70="","*",FN_MC!W70)</f>
        <v>Ronda 7 dias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Silmara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PCM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Troca de dormente em ponte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>
        <f>IF(FN_MC!B75="","*",FN_MC!B75)</f>
        <v>46028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Hebert</v>
      </c>
      <c r="U73" s="110" t="str">
        <f>IF(FN_MC!W75="","*",FN_MC!W75)</f>
        <v>Ronda 7 dias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Oportunidade</v>
      </c>
      <c r="C75" s="109" t="str">
        <f>IF(FN_MC!Z77="","*",FN_MC!Z77)</f>
        <v>*</v>
      </c>
      <c r="D75" s="110" t="str">
        <f>IF(FN_MC!S77="","*",FN_MC!S77)</f>
        <v>FERRONORTE</v>
      </c>
      <c r="E75" s="110" t="str">
        <f>IF(FN_MC!T77="","*",FN_MC!T77)</f>
        <v>TMI-TCS</v>
      </c>
      <c r="F75" s="110">
        <f>IF(FN_MC!B77="","*",FN_MC!B77)</f>
        <v>46028</v>
      </c>
      <c r="G75" s="110" t="str">
        <f>IF(FN_MC!D77="","*",FN_MC!D77)</f>
        <v>W50</v>
      </c>
      <c r="H75" s="110" t="str">
        <f>IF(FN_MC!F77="","*",FN_MC!F77)</f>
        <v>MODERNIZAÇÃO - DORMENTE - DESCARGA</v>
      </c>
      <c r="I75" s="110" t="str">
        <f>IF(FN_MC!H77="","*",FN_MC!H77)</f>
        <v>TCS2</v>
      </c>
      <c r="J75" s="110" t="str">
        <f>IF(FN_MC!I77="","*",FN_MC!I77)</f>
        <v>TCS2</v>
      </c>
      <c r="K75" s="110" t="str">
        <f>IF(FN_MC!M77="","*",FN_MC!M77)</f>
        <v>TID-TVI</v>
      </c>
      <c r="L75" s="110" t="str">
        <f>IF(FN_MC!N77="","*",FN_MC!N77)</f>
        <v>213TVI</v>
      </c>
      <c r="M75" s="111">
        <f>IF(FN_MC!J77="","*",FN_MC!J77)</f>
        <v>74</v>
      </c>
      <c r="N75" s="296">
        <f>IF(FN_MC!K77="","*",FN_MC!K77)</f>
        <v>215</v>
      </c>
      <c r="O75" s="296">
        <f>IF(FN_MC!L77="","*",FN_MC!L77)</f>
        <v>213</v>
      </c>
      <c r="P75" s="111"/>
      <c r="Q75" s="128">
        <f>IF(FN_MC!O77="","*",FN_MC!O77)</f>
        <v>0.375</v>
      </c>
      <c r="R75" s="128">
        <f>IF(FN_MC!P77="","*",FN_MC!P77)</f>
        <v>0.16666666666666666</v>
      </c>
      <c r="S75" s="110" t="str">
        <f>IF(FN_MC!Q77="","*",CONCATENATE(FN_MC!Q77," ",FN_MC!R77))</f>
        <v>*</v>
      </c>
      <c r="T75" s="110" t="str">
        <f>IF(FN_MC!V77="","*",FN_MC!V77)</f>
        <v>Augusto</v>
      </c>
      <c r="U75" s="110" t="str">
        <f>IF(FN_MC!W77="","*",FN_MC!W77)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Ana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MALHA CENTRAL</v>
      </c>
      <c r="E79" s="110" t="str">
        <f>IF(FN_MC!T81="","*",FN_MC!T81)</f>
        <v>RAMAL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ZTP</v>
      </c>
      <c r="J79" s="110" t="str">
        <f>IF(FN_MC!I81="","*",FN_MC!I81)</f>
        <v>ZTO</v>
      </c>
      <c r="K79" s="110" t="str">
        <f>IF(FN_MC!M81="","*",FN_MC!M81)</f>
        <v>ZTP-ZTO</v>
      </c>
      <c r="L79" s="110" t="str">
        <f>IF(FN_MC!N81="","*",FN_MC!N81)</f>
        <v>ZTPZTO</v>
      </c>
      <c r="M79" s="111">
        <f>IF(FN_MC!J81="","*",FN_MC!J81)</f>
        <v>78</v>
      </c>
      <c r="N79" s="296">
        <f>IF(FN_MC!K81="","*",FN_MC!K81)</f>
        <v>334</v>
      </c>
      <c r="O79" s="296">
        <f>IF(FN_MC!L81="","*",FN_MC!L81)</f>
        <v>7.5</v>
      </c>
      <c r="P79" s="111"/>
      <c r="Q79" s="128">
        <f>IF(FN_MC!O81="","*",FN_MC!O81)</f>
        <v>0.41666666666666669</v>
      </c>
      <c r="R79" s="128">
        <f>IF(FN_MC!P81="","*",FN_MC!P81)</f>
        <v>4.1666666666666664E-2</v>
      </c>
      <c r="S79" s="110" t="str">
        <f>IF(FN_MC!Q81="","*",CONCATENATE(FN_MC!Q81," ",FN_MC!R81))</f>
        <v>1 BINÁRIO</v>
      </c>
      <c r="T79" s="110" t="str">
        <f>IF(FN_MC!V81="","*",FN_MC!V81)</f>
        <v>PCM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1331</v>
      </c>
      <c r="C2" s="95" t="s">
        <v>1148</v>
      </c>
      <c r="D2" s="95" t="s">
        <v>1150</v>
      </c>
      <c r="E2" s="95" t="s">
        <v>1332</v>
      </c>
      <c r="F2" s="95" t="s">
        <v>1333</v>
      </c>
      <c r="G2" s="95" t="s">
        <v>1334</v>
      </c>
      <c r="H2" s="95" t="s">
        <v>1335</v>
      </c>
      <c r="I2" s="95" t="s">
        <v>1336</v>
      </c>
      <c r="J2" s="95" t="s">
        <v>1337</v>
      </c>
      <c r="K2" s="131" t="s">
        <v>1338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FIXO + ESCALA</v>
      </c>
      <c r="I67" s="121" t="str">
        <f>IF(FN_MC!AC69="","*",FN_MC!AC69)</f>
        <v>*</v>
      </c>
      <c r="J67" s="122" t="str">
        <f>IF(FN_MC!AA69="","*",FN_MC!AA69)</f>
        <v>2(Enio + Daniel) +2 escala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W50</v>
      </c>
      <c r="E75" s="121" t="str">
        <f>IF(FN_MC!H77="","*",FN_MC!H77)</f>
        <v>TCS2</v>
      </c>
      <c r="F75" s="137" t="str">
        <f>IF(FN_MC!M77="","*",FN_MC!M77)</f>
        <v>TID-TVI</v>
      </c>
      <c r="G75" s="121" t="str">
        <f>IF(FN_MC!I77="","*",FN_MC!I77)</f>
        <v>TCS2</v>
      </c>
      <c r="H75" s="121" t="str">
        <f>IF(FN_MC!AB77="","*",FN_MC!AB77)</f>
        <v>ESCALA</v>
      </c>
      <c r="I75" s="121" t="str">
        <f>IF(FN_MC!AC77="","*",FN_MC!AC77)</f>
        <v>*</v>
      </c>
      <c r="J75" s="122">
        <f>IF(FN_MC!AA77="","*",FN_MC!AA77)</f>
        <v>2</v>
      </c>
      <c r="K75" s="134">
        <f>IF(FN_MC!AD77="","*",FN_MC!AD77)</f>
        <v>0.29166666666666669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ZTP</v>
      </c>
      <c r="F79" s="137" t="str">
        <f>IF(FN_MC!M81="","*",FN_MC!M81)</f>
        <v>ZTP-ZTO</v>
      </c>
      <c r="G79" s="121" t="str">
        <f>IF(FN_MC!I81="","*",FN_MC!I81)</f>
        <v>ZTO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2026-01-05T17:17:46Z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