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394" documentId="8_{B6337239-1A00-434D-AAD0-422EA1FEB5AE}" xr6:coauthVersionLast="47" xr6:coauthVersionMax="47" xr10:uidLastSave="{AFA5BA7C-AAA1-42A0-B46E-A7AD0E153672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R355" i="1"/>
  <c r="BS355" i="1"/>
  <c r="BS356" i="1"/>
  <c r="BQ358" i="1"/>
  <c r="BQ355" i="1"/>
  <c r="H357" i="1" a="1"/>
  <c r="H357" i="1"/>
  <c r="U374" i="1"/>
  <c r="T374" i="1" a="1"/>
  <c r="T374" i="1"/>
  <c r="E372" i="12" s="1"/>
  <c r="S374" i="1" a="1"/>
  <c r="S374" i="1"/>
  <c r="D372" i="12" s="1"/>
  <c r="R374" i="1"/>
  <c r="N374" i="1" a="1"/>
  <c r="N374" i="1"/>
  <c r="L372" i="12" s="1"/>
  <c r="M374" i="1" a="1"/>
  <c r="M374" i="1"/>
  <c r="G374" i="1"/>
  <c r="C374" i="1"/>
  <c r="A374" i="1"/>
  <c r="U373" i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G373" i="1"/>
  <c r="C373" i="1"/>
  <c r="A373" i="1"/>
  <c r="U372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C372" i="1"/>
  <c r="A372" i="1"/>
  <c r="U371" i="1"/>
  <c r="T371" i="1" a="1"/>
  <c r="T371" i="1"/>
  <c r="E369" i="12" s="1"/>
  <c r="S371" i="1" a="1"/>
  <c r="S371" i="1"/>
  <c r="D369" i="12" s="1"/>
  <c r="R371" i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N369" i="1" a="1"/>
  <c r="N369" i="1"/>
  <c r="L367" i="12" s="1"/>
  <c r="M369" i="1" a="1"/>
  <c r="M369" i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G368" i="1"/>
  <c r="C368" i="1"/>
  <c r="A368" i="1"/>
  <c r="U366" i="1"/>
  <c r="T366" i="1" a="1"/>
  <c r="T366" i="1"/>
  <c r="E364" i="12" s="1"/>
  <c r="S366" i="1" a="1"/>
  <c r="S366" i="1"/>
  <c r="D364" i="12" s="1"/>
  <c r="R366" i="1"/>
  <c r="M366" i="1" a="1"/>
  <c r="M366" i="1"/>
  <c r="G366" i="1"/>
  <c r="C366" i="1"/>
  <c r="A366" i="1"/>
  <c r="U365" i="1"/>
  <c r="T365" i="1" a="1"/>
  <c r="T365" i="1"/>
  <c r="E363" i="12" s="1"/>
  <c r="S365" i="1" a="1"/>
  <c r="S365" i="1"/>
  <c r="D363" i="12" s="1"/>
  <c r="R365" i="1"/>
  <c r="Q365" i="1"/>
  <c r="G365" i="1"/>
  <c r="C365" i="1"/>
  <c r="A365" i="1"/>
  <c r="A262" i="1"/>
  <c r="A263" i="1"/>
  <c r="S363" i="1" a="1"/>
  <c r="S363" i="1"/>
  <c r="D361" i="12" s="1"/>
  <c r="S364" i="1" a="1"/>
  <c r="S364" i="1"/>
  <c r="D362" i="12" s="1"/>
  <c r="C361" i="1"/>
  <c r="C362" i="1"/>
  <c r="C363" i="1"/>
  <c r="A361" i="1"/>
  <c r="A362" i="1"/>
  <c r="A363" i="1"/>
  <c r="A364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R363" i="1"/>
  <c r="R364" i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G364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R358" i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U244" i="1"/>
  <c r="R245" i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C360" i="1"/>
  <c r="M360" i="1" a="1"/>
  <c r="M360" i="1" s="1"/>
  <c r="N360" i="1" a="1"/>
  <c r="N360" i="1" s="1"/>
  <c r="L358" i="12" s="1"/>
  <c r="R360" i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C364" i="1"/>
  <c r="T364" i="1" a="1"/>
  <c r="T364" i="1" s="1"/>
  <c r="E362" i="12" s="1"/>
  <c r="U364" i="1"/>
  <c r="AI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I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I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I367" i="1"/>
  <c r="BB367" i="1" s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I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I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I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I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I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I378" i="1"/>
  <c r="BB378" i="1" s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1" i="12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3" i="12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5" i="12" s="1"/>
  <c r="N397" i="1" a="1"/>
  <c r="N397" i="1" s="1"/>
  <c r="L395" i="12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6" i="12" s="1"/>
  <c r="N398" i="1" a="1"/>
  <c r="N398" i="1" s="1"/>
  <c r="L396" i="12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7" i="12" s="1"/>
  <c r="N399" i="1" a="1"/>
  <c r="N399" i="1" s="1"/>
  <c r="L397" i="12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8" i="12" s="1"/>
  <c r="N400" i="1" a="1"/>
  <c r="N400" i="1" s="1"/>
  <c r="L398" i="12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399" i="12" s="1"/>
  <c r="N401" i="1" a="1"/>
  <c r="N401" i="1" s="1"/>
  <c r="L399" i="12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0" i="12" s="1"/>
  <c r="N402" i="1" a="1"/>
  <c r="N402" i="1" s="1"/>
  <c r="L400" i="12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1" i="12" s="1"/>
  <c r="N403" i="1" a="1"/>
  <c r="N403" i="1" s="1"/>
  <c r="L401" i="12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2" i="12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3" i="12" s="1"/>
  <c r="N405" i="1" a="1"/>
  <c r="N405" i="1" s="1"/>
  <c r="L403" i="12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4" i="12" s="1"/>
  <c r="N406" i="1" a="1"/>
  <c r="N406" i="1" s="1"/>
  <c r="L404" i="12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5" i="12" s="1"/>
  <c r="N407" i="1" a="1"/>
  <c r="N407" i="1" s="1"/>
  <c r="L405" i="12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6" i="12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7" i="12" s="1"/>
  <c r="N409" i="1" a="1"/>
  <c r="N409" i="1" s="1"/>
  <c r="L407" i="12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K408" i="12" s="1"/>
  <c r="N410" i="1" a="1"/>
  <c r="N410" i="1" s="1"/>
  <c r="L408" i="12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0" i="12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1" i="12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L412" i="12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K413" i="12" s="1"/>
  <c r="N415" i="1" a="1"/>
  <c r="N415" i="1" s="1"/>
  <c r="L413" i="12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L414" i="12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5" i="12" s="1"/>
  <c r="N417" i="1" a="1"/>
  <c r="N417" i="1" s="1"/>
  <c r="L415" i="12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K416" i="12" s="1"/>
  <c r="N418" i="1" a="1"/>
  <c r="N418" i="1" s="1"/>
  <c r="L416" i="12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7" i="12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8" i="12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19" i="12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0" i="12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L421" i="12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K422" i="12" s="1"/>
  <c r="N424" i="1" a="1"/>
  <c r="N424" i="1" s="1"/>
  <c r="L422" i="12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L423" i="12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4" i="12" s="1"/>
  <c r="N426" i="1" a="1"/>
  <c r="N426" i="1" s="1"/>
  <c r="L424" i="12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K425" i="12" s="1"/>
  <c r="N427" i="1" a="1"/>
  <c r="N427" i="1" s="1"/>
  <c r="L425" i="12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L426" i="12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7" i="12" s="1"/>
  <c r="N429" i="1" a="1"/>
  <c r="N429" i="1" s="1"/>
  <c r="L427" i="12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8" i="12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L431" i="12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L432" i="12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L433" i="12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L434" i="12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L435" i="12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6" i="12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L437" i="12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L438" i="12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L440" i="12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L441" i="12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L442" i="12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3" i="12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84" i="12" l="1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1" i="1"/>
  <c r="BB370" i="1"/>
  <c r="BB369" i="1"/>
  <c r="BB368" i="1"/>
  <c r="BB366" i="1"/>
  <c r="BB362" i="1"/>
  <c r="BB364" i="1"/>
  <c r="BB363" i="1"/>
  <c r="BB372" i="1"/>
  <c r="BB365" i="1"/>
  <c r="AJ372" i="1"/>
  <c r="AJ367" i="1"/>
  <c r="AJ376" i="1"/>
  <c r="AJ377" i="1"/>
  <c r="AJ378" i="1"/>
  <c r="AJ375" i="1"/>
  <c r="AJ362" i="1"/>
  <c r="AJ363" i="1"/>
  <c r="AJ368" i="1"/>
  <c r="AJ364" i="1"/>
  <c r="AJ353" i="1"/>
  <c r="AJ366" i="1"/>
  <c r="AJ365" i="1"/>
  <c r="AJ361" i="1"/>
  <c r="AJ371" i="1"/>
  <c r="AJ370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1" i="1"/>
  <c r="L449" i="12"/>
  <c r="AN450" i="1"/>
  <c r="L448" i="12"/>
  <c r="F446" i="13"/>
  <c r="K447" i="12"/>
  <c r="F442" i="13"/>
  <c r="AN444" i="1"/>
  <c r="AN443" i="1"/>
  <c r="AN442" i="1"/>
  <c r="AN440" i="1"/>
  <c r="AN439" i="1"/>
  <c r="F435" i="13"/>
  <c r="AN437" i="1"/>
  <c r="AN436" i="1"/>
  <c r="AN435" i="1"/>
  <c r="AN434" i="1"/>
  <c r="AN433" i="1"/>
  <c r="AN429" i="1"/>
  <c r="F425" i="13"/>
  <c r="AN427" i="1"/>
  <c r="AN426" i="1"/>
  <c r="F422" i="13"/>
  <c r="AN424" i="1"/>
  <c r="AN423" i="1"/>
  <c r="AN422" i="1"/>
  <c r="AN421" i="1"/>
  <c r="AN420" i="1"/>
  <c r="AN419" i="1"/>
  <c r="AN416" i="1"/>
  <c r="AN414" i="1"/>
  <c r="AN412" i="1"/>
  <c r="AN410" i="1"/>
  <c r="AN409" i="1"/>
  <c r="AN407" i="1"/>
  <c r="AN406" i="1"/>
  <c r="AN405" i="1"/>
  <c r="AN403" i="1"/>
  <c r="AN402" i="1"/>
  <c r="AN401" i="1"/>
  <c r="AN400" i="1"/>
  <c r="AN399" i="1"/>
  <c r="AN398" i="1"/>
  <c r="AN397" i="1"/>
  <c r="AN395" i="1"/>
  <c r="AN393" i="1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L364" i="11" s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53" i="11" l="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<sst xmlns="http://schemas.openxmlformats.org/spreadsheetml/2006/main" count="9771" uniqueCount="1984">
  <si>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</si>
  <si>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</si>
  <si>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</si>
  <si>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</si>
  <si>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</si>
  <si>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</si>
  <si>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</si>
  <si>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</si>
  <si>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</si>
  <si>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</si>
  <si>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</si>
  <si>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</si>
  <si>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</si>
  <si>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</si>
  <si>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</si>
  <si>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</si>
  <si>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</si>
  <si>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</si>
  <si>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</si>
  <si>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</si>
  <si>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</si>
  <si>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</si>
  <si>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</si>
  <si>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</si>
  <si>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</si>
  <si>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</si>
  <si>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</si>
  <si>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</si>
  <si>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</si>
  <si>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</si>
  <si>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</si>
  <si>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</si>
  <si>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</si>
  <si>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</si>
  <si>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</si>
  <si>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</si>
  <si>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</si>
  <si>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</si>
  <si>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</si>
  <si>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</si>
  <si>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</si>
  <si>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</si>
  <si>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</si>
  <si>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</si>
  <si>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</si>
  <si>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</si>
  <si>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</si>
  <si>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</si>
  <si>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</si>
  <si>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</si>
  <si>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</si>
  <si>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</si>
  <si>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</si>
  <si>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</si>
  <si>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</si>
  <si>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</si>
  <si>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</si>
  <si>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</si>
  <si>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</si>
  <si>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</si>
  <si>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</si>
  <si>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</si>
  <si>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</si>
  <si>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</si>
  <si>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</si>
  <si>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</si>
  <si>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</si>
  <si>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</si>
  <si>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</si>
  <si>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</si>
  <si>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</si>
  <si>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</si>
  <si>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</si>
  <si>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</si>
  <si>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</si>
  <si>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</si>
  <si>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</si>
  <si>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</si>
  <si>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</si>
  <si>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</si>
  <si>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</si>
  <si>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</si>
  <si>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</si>
  <si>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</si>
  <si>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</si>
  <si>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</si>
  <si>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</si>
  <si>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</si>
  <si>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</si>
  <si>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</si>
  <si>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</si>
  <si>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</si>
  <si>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</si>
  <si>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</si>
  <si>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</si>
  <si>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</si>
  <si>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</si>
  <si>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</si>
  <si>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</si>
  <si>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</si>
  <si>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</si>
  <si>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</si>
  <si>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</si>
  <si>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</si>
  <si>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</si>
  <si>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</si>
  <si>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</si>
  <si>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</si>
  <si>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</si>
  <si>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</si>
  <si>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</si>
  <si>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</si>
  <si>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</si>
  <si>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</si>
  <si>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</si>
  <si>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</si>
  <si>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</si>
  <si>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</si>
  <si>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</si>
  <si>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</si>
  <si>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</si>
  <si>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</si>
  <si>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</si>
  <si>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</si>
  <si>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</si>
  <si>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</si>
  <si>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</si>
  <si>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</si>
  <si>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</si>
  <si>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</si>
  <si>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</si>
  <si>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</si>
  <si>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</si>
  <si>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</si>
  <si>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</si>
  <si>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</si>
  <si>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</si>
  <si>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</si>
  <si>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</si>
  <si>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</si>
  <si>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</si>
  <si>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</si>
  <si>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</si>
  <si>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</si>
  <si>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</si>
  <si>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</si>
  <si>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</si>
  <si>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</si>
  <si>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</si>
  <si>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</si>
  <si>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</si>
  <si>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</si>
  <si>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</si>
  <si>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</si>
  <si>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</si>
  <si>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</si>
  <si>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</si>
  <si>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</si>
  <si>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</si>
  <si>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</si>
  <si>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</si>
  <si>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</si>
  <si>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</si>
  <si>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</si>
  <si>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</si>
  <si>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</si>
  <si>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</si>
  <si>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</si>
  <si>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</si>
  <si>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</si>
  <si>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</si>
  <si>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</si>
  <si>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</si>
  <si>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</si>
  <si>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</si>
  <si>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</si>
  <si>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</si>
  <si>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</si>
  <si>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</si>
  <si>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</si>
  <si>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</si>
  <si>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</si>
  <si>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</si>
  <si>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</si>
  <si>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</si>
  <si>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</si>
  <si>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</si>
  <si>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</si>
  <si>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</si>
  <si>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</si>
  <si>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</si>
  <si>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</si>
  <si>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</si>
  <si>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</si>
  <si>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</si>
  <si>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</si>
  <si>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</si>
  <si>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</si>
  <si>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</si>
  <si>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</si>
  <si>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</si>
  <si>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</si>
  <si>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</si>
  <si>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</si>
  <si>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</si>
  <si>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</si>
  <si>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</si>
  <si>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</si>
  <si>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</si>
  <si>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</si>
  <si>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</si>
  <si>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</si>
  <si>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</si>
  <si>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</si>
  <si>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</si>
  <si>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</si>
  <si>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</si>
  <si>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</si>
  <si>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</si>
  <si>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</si>
  <si>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</si>
  <si>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</si>
  <si>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</si>
  <si>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</si>
  <si>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</si>
  <si>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</si>
  <si>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</si>
  <si>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</si>
  <si>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</si>
  <si>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</si>
  <si>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</si>
  <si>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</si>
  <si>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</si>
  <si>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</si>
  <si>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</si>
  <si>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</si>
  <si>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</si>
  <si>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</si>
  <si>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</si>
  <si>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</si>
  <si>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</si>
  <si>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</si>
  <si>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</si>
  <si>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</si>
  <si>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</si>
  <si>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</si>
  <si>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</si>
  <si>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</si>
  <si>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</si>
  <si>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</si>
  <si>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</si>
  <si>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</si>
  <si>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</si>
  <si>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</si>
  <si>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</si>
  <si>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</si>
  <si>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</si>
  <si>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</si>
  <si>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</si>
  <si>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</si>
  <si>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</si>
  <si>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</si>
  <si>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</si>
  <si>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</si>
  <si>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</si>
  <si>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</si>
  <si>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</si>
  <si>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</si>
  <si>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</si>
  <si>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</si>
  <si>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</si>
  <si>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</si>
  <si>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</si>
  <si>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</si>
  <si>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</si>
  <si>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</si>
  <si>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</si>
  <si>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</si>
  <si>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</si>
  <si>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</si>
  <si>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</si>
  <si>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</si>
  <si>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</si>
  <si>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</si>
  <si>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</si>
  <si>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</si>
  <si>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</si>
  <si>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</si>
  <si>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</si>
  <si>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</si>
  <si>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</si>
  <si>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</si>
  <si>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</si>
  <si>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</si>
  <si>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</si>
  <si>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</si>
  <si>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</si>
  <si>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</si>
  <si>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</si>
  <si>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</si>
  <si>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</si>
  <si>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</si>
  <si>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</si>
  <si>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</si>
  <si>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</si>
  <si>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</si>
  <si>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</si>
  <si>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</si>
  <si>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</si>
  <si>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</si>
  <si>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</si>
  <si>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</si>
  <si>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</si>
  <si>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</si>
  <si>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</si>
  <si>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</si>
  <si>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</si>
  <si>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</si>
  <si>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</si>
  <si>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</si>
  <si>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</si>
  <si>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</si>
  <si>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</si>
  <si>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</si>
  <si>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</si>
  <si>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</si>
  <si>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</si>
  <si>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</si>
  <si>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</si>
  <si>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</si>
  <si>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</si>
  <si>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</si>
  <si>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</si>
  <si>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</si>
  <si>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</si>
  <si>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</si>
  <si>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</si>
  <si>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</si>
  <si>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</si>
  <si>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</si>
  <si>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</si>
  <si>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</si>
  <si>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</si>
  <si>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</si>
  <si>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</si>
  <si>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</si>
  <si>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</si>
  <si>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</si>
  <si>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</si>
  <si>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</si>
  <si>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</si>
  <si>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</si>
  <si>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</si>
  <si>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</si>
  <si>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</si>
  <si>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</si>
  <si>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</si>
  <si>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</si>
  <si>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</si>
  <si>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</si>
  <si>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</si>
  <si>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</si>
  <si>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</si>
  <si>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</si>
  <si>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</si>
  <si>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</si>
  <si>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</si>
  <si>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</si>
  <si>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</si>
  <si>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</si>
  <si>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</si>
  <si>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</si>
  <si>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</si>
  <si>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</si>
  <si>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</si>
  <si>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</si>
  <si>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</si>
  <si>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</si>
  <si>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</si>
  <si>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</si>
  <si>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</si>
  <si>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</si>
  <si>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</si>
  <si>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</si>
  <si>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</si>
  <si>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</si>
  <si>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</si>
  <si>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</si>
  <si>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</si>
  <si>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</si>
  <si>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</si>
  <si>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</si>
  <si>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</si>
  <si>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</si>
  <si>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</si>
  <si>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</si>
  <si>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</si>
  <si>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</si>
  <si>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</si>
  <si>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</si>
  <si>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</si>
  <si>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</si>
  <si>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</si>
  <si>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</si>
  <si>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</si>
  <si>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</si>
  <si>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</si>
  <si>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</si>
  <si>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</si>
  <si>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</si>
  <si>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</si>
  <si>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</si>
  <si>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</si>
  <si>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</si>
  <si>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</si>
  <si>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</si>
  <si>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</si>
  <si>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</si>
  <si>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</si>
  <si>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</si>
  <si>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</si>
  <si>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</si>
  <si>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</si>
  <si>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</si>
  <si>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</si>
  <si>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</si>
  <si>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</si>
  <si>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</si>
  <si>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</si>
  <si>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</si>
  <si>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</si>
  <si>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</si>
  <si>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</si>
  <si>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</si>
  <si>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</si>
  <si>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</si>
  <si>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</si>
  <si>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</si>
  <si>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</si>
  <si>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</si>
  <si>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</si>
  <si>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</si>
  <si>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</si>
  <si>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</si>
  <si>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</si>
  <si>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</si>
  <si>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</si>
  <si>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</si>
  <si>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</si>
  <si>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</si>
  <si>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</si>
  <si>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</si>
  <si>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</si>
  <si>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</si>
  <si>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</si>
  <si>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</si>
  <si>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</si>
  <si>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</si>
  <si>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</si>
  <si>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</si>
  <si>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</si>
  <si>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</si>
  <si>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</si>
  <si>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</si>
  <si>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</si>
  <si>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</si>
  <si>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</si>
  <si>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</si>
  <si>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</si>
  <si>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</si>
  <si>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</si>
  <si>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</si>
  <si>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</si>
  <si>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</si>
  <si>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</si>
  <si>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</si>
  <si>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</si>
  <si>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</si>
  <si>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</si>
  <si>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</si>
  <si>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</si>
  <si>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</si>
  <si>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</si>
  <si>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</si>
  <si>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</si>
  <si>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</si>
  <si>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</si>
  <si>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</si>
  <si>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</si>
  <si>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</si>
  <si>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</si>
  <si>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</si>
  <si>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</si>
  <si>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</si>
  <si>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</si>
  <si>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</si>
  <si>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</si>
  <si>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</si>
  <si>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</si>
  <si>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</si>
  <si>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</si>
  <si>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</si>
  <si>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</si>
  <si>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</si>
  <si>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</si>
  <si>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</si>
  <si>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</si>
  <si>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</si>
  <si>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</si>
  <si>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</si>
  <si>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</si>
  <si>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</si>
  <si>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</si>
  <si>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</si>
  <si>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</si>
  <si>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</si>
  <si>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</si>
  <si>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</si>
  <si>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</si>
  <si>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</si>
  <si>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</si>
  <si>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</si>
  <si>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</si>
  <si>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</si>
  <si>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</si>
  <si>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</si>
  <si>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</si>
  <si>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</si>
  <si>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</si>
  <si>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</si>
  <si>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</si>
  <si>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</si>
  <si>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</si>
  <si>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</si>
  <si>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</si>
  <si>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</si>
  <si>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</si>
  <si>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</si>
  <si>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</si>
  <si>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</si>
  <si>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</si>
  <si>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</si>
  <si>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</si>
  <si>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</si>
  <si>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</si>
  <si>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</si>
  <si>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</si>
  <si>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</si>
  <si>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</si>
  <si>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</si>
  <si>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</si>
  <si>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</si>
  <si>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</si>
  <si>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</si>
  <si>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</si>
  <si>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</si>
  <si>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</si>
  <si>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</si>
  <si>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</si>
  <si>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</si>
  <si>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</si>
  <si>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</si>
  <si>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</si>
  <si>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</si>
  <si>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</si>
  <si>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</si>
  <si>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</si>
  <si>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</si>
  <si>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</si>
  <si>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</si>
  <si>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</si>
  <si>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</si>
  <si>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</si>
  <si>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</si>
  <si>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</si>
  <si>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</si>
  <si>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</si>
  <si>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</si>
  <si>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</si>
  <si>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</si>
  <si>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</si>
  <si>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</si>
  <si>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</si>
  <si>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</si>
  <si>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</si>
  <si>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</si>
  <si>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</si>
  <si>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</si>
  <si>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</si>
  <si>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</si>
  <si>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</si>
  <si>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</si>
  <si>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</si>
  <si>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</si>
  <si>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</si>
  <si>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</si>
  <si>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</si>
  <si>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</si>
  <si>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</si>
  <si>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</si>
  <si>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</si>
  <si>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</si>
  <si>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</si>
  <si>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</si>
  <si>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</si>
  <si>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</si>
  <si>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</si>
  <si>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</si>
  <si>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</si>
  <si>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</si>
  <si>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</si>
  <si>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</si>
  <si>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</si>
  <si>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</si>
  <si>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</si>
  <si>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</si>
  <si>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</si>
  <si>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</si>
  <si>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</si>
  <si>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</si>
  <si>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</si>
  <si>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</si>
  <si>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</si>
  <si>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</si>
  <si>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</si>
  <si>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</si>
  <si>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</si>
  <si>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</si>
  <si>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</si>
  <si>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</si>
  <si>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</si>
  <si>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</si>
  <si>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</si>
  <si>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</si>
  <si>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</si>
  <si>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</si>
  <si>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</si>
  <si>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</si>
  <si>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</si>
  <si>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</si>
  <si>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</si>
  <si>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</si>
  <si>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</si>
  <si>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</si>
  <si>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</si>
  <si>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</si>
  <si>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</si>
  <si>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</si>
  <si>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</si>
  <si>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</si>
  <si>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</si>
  <si>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</si>
  <si>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</si>
  <si>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</si>
  <si>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</si>
  <si>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</si>
  <si>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</si>
  <si>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</si>
  <si>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</si>
  <si>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</si>
  <si>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</si>
  <si>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</si>
  <si>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</si>
  <si>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</si>
  <si>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</si>
  <si>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</si>
  <si>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</si>
  <si>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</si>
  <si>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</si>
  <si>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</si>
  <si>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</si>
  <si>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</si>
  <si>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</si>
  <si>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</si>
  <si>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</si>
  <si>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</si>
  <si>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</si>
  <si>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</si>
  <si>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</si>
  <si>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</si>
  <si>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</si>
  <si>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</si>
  <si>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</si>
  <si>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</si>
  <si>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</si>
  <si>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</si>
  <si>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</si>
  <si>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</si>
  <si>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</si>
  <si>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</si>
  <si>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</si>
  <si>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</si>
  <si>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</si>
  <si>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</si>
  <si>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</si>
  <si>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</si>
  <si>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</si>
  <si>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</si>
  <si>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</si>
  <si>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</si>
  <si>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</si>
  <si>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</si>
  <si>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</si>
  <si>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</si>
  <si>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</si>
  <si>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</si>
  <si>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</si>
  <si>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</si>
  <si>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</si>
  <si>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</si>
  <si>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</si>
  <si>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</si>
  <si>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</si>
  <si>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</si>
  <si>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</si>
  <si>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</si>
  <si>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</si>
  <si>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</si>
  <si>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</si>
  <si>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</si>
  <si>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</si>
  <si>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</si>
  <si>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</si>
  <si>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</si>
  <si>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</si>
  <si>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</si>
  <si>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</si>
  <si>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</si>
  <si>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</si>
  <si>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</si>
  <si>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</si>
  <si>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</si>
  <si>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</si>
  <si>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</si>
  <si>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</si>
  <si>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</si>
  <si>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</si>
  <si>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</si>
  <si>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</si>
  <si>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</si>
  <si>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</si>
  <si>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</si>
  <si>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</si>
  <si>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</si>
  <si>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</si>
  <si>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</si>
  <si>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</si>
  <si>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</si>
  <si>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</si>
  <si>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</si>
  <si>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</si>
  <si>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</si>
  <si>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</si>
  <si>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</si>
  <si>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</si>
  <si>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</si>
  <si>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</si>
  <si>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</si>
  <si>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</si>
  <si>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</si>
  <si>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</si>
  <si>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</si>
  <si>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</si>
  <si>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</si>
  <si>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</si>
  <si>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</si>
  <si>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</si>
  <si>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</si>
  <si>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</si>
  <si>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</si>
  <si>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</si>
  <si>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</si>
  <si>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</si>
  <si>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</si>
  <si>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</si>
  <si>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</si>
  <si>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</si>
  <si>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</si>
  <si>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</si>
  <si>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</si>
  <si>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</si>
  <si>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</si>
  <si>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</si>
  <si>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</si>
  <si>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</si>
  <si>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</si>
  <si>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</si>
  <si>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</si>
  <si>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</si>
  <si>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</si>
  <si>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</si>
  <si>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</si>
  <si>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</si>
  <si>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</si>
  <si>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</si>
  <si>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</si>
  <si>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</si>
  <si>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</si>
  <si>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</si>
  <si>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</si>
  <si>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</si>
  <si>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</si>
  <si>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</si>
  <si>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</si>
  <si>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</si>
  <si>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</si>
  <si>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</si>
  <si>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</si>
  <si>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</si>
  <si>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</si>
  <si>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</si>
  <si>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</si>
  <si>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</si>
  <si>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</si>
  <si>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</si>
  <si>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</si>
  <si>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</si>
  <si>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</si>
  <si>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</si>
  <si>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</si>
  <si>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</si>
  <si>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</si>
  <si>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</si>
  <si>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</si>
  <si>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</si>
  <si>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</si>
  <si>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</si>
  <si>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</si>
  <si>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</si>
  <si>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</si>
  <si>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</si>
  <si>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</si>
  <si>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</si>
  <si>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</si>
  <si>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</si>
  <si>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</si>
  <si>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</si>
  <si>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</si>
  <si>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</si>
  <si>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</si>
  <si>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</si>
  <si>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</si>
  <si>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</si>
  <si>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</si>
  <si>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</si>
  <si>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</si>
  <si>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</si>
  <si>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</si>
  <si>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</si>
  <si>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</si>
  <si>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</si>
  <si>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</si>
  <si>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</si>
  <si>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</si>
  <si>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</si>
  <si>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</si>
  <si>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</si>
  <si>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</si>
  <si>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</si>
  <si>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</si>
  <si>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</si>
  <si>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</si>
  <si>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</si>
  <si>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</si>
  <si>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</si>
  <si>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</si>
  <si>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</si>
  <si>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</si>
  <si>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</si>
  <si>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</si>
  <si>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</si>
  <si>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</si>
  <si>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</si>
  <si>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</si>
  <si>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</si>
  <si>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</si>
  <si>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</si>
  <si>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</si>
  <si>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</si>
  <si>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</si>
  <si>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</si>
  <si>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</si>
  <si>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</si>
  <si>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</si>
  <si>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</si>
  <si>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</si>
  <si>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</si>
  <si>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</si>
  <si>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</si>
  <si>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</si>
  <si>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</si>
  <si>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</si>
  <si>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</si>
  <si>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</si>
  <si>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</si>
  <si>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</si>
  <si>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</si>
  <si>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</si>
  <si>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</si>
  <si>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</si>
  <si>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</si>
  <si>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</si>
  <si>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</si>
  <si>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</si>
  <si>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</si>
  <si>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</si>
  <si>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</si>
  <si>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</si>
  <si>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</si>
  <si>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</si>
  <si>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</si>
  <si>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</si>
  <si>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</si>
  <si>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</si>
  <si>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</si>
  <si>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</si>
  <si>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</si>
  <si>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</si>
  <si>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</si>
  <si>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</si>
  <si>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</si>
  <si>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</si>
  <si>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</si>
  <si>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</si>
  <si>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</si>
  <si>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</si>
  <si>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</si>
  <si>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</si>
  <si>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</si>
  <si>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</si>
  <si>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</si>
  <si>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</si>
  <si>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</si>
  <si>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</si>
  <si>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</si>
  <si>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</si>
  <si>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</si>
  <si>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</si>
  <si>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</si>
  <si>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</si>
  <si>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</si>
  <si>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</si>
  <si>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</si>
  <si>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</si>
  <si>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</si>
  <si>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</si>
  <si>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</si>
  <si>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</si>
  <si>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</si>
  <si>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</si>
  <si>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</si>
  <si>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</si>
  <si>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</si>
  <si>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</si>
  <si>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</si>
  <si>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</si>
  <si>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</si>
  <si>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</si>
  <si>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</si>
  <si>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</si>
  <si>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</si>
  <si>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</si>
  <si>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</si>
  <si>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</si>
  <si>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</si>
  <si>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</si>
  <si>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</si>
  <si>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</si>
  <si>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</si>
  <si>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</si>
  <si>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</si>
  <si>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</si>
  <si>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</si>
  <si>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</si>
  <si>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</si>
  <si>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</si>
  <si>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</si>
  <si>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</si>
  <si>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</si>
  <si>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</si>
  <si>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</si>
  <si>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</si>
  <si>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</si>
  <si>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</si>
  <si>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</si>
  <si>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</si>
  <si>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</si>
  <si>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</si>
  <si>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</si>
  <si>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</si>
  <si>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</si>
  <si>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</si>
  <si>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</si>
  <si>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</si>
  <si>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</si>
  <si>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</si>
  <si>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</si>
  <si>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</si>
  <si>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</si>
  <si>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</si>
  <si>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</si>
  <si>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</si>
  <si>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</si>
  <si>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</si>
  <si>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</si>
  <si>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</si>
  <si>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</si>
  <si>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</si>
  <si>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</si>
  <si>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</si>
  <si>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</si>
  <si>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</si>
  <si>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</si>
  <si>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</si>
  <si>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</si>
  <si>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</si>
  <si>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</si>
  <si>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</si>
  <si>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</si>
  <si>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</si>
  <si>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</si>
  <si>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</si>
  <si>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</si>
  <si>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</si>
  <si>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</si>
  <si>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</si>
  <si>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</si>
  <si>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</si>
  <si>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</si>
  <si>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</si>
  <si>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</si>
  <si>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</si>
  <si>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</si>
  <si>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</si>
  <si>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</si>
  <si>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</si>
  <si>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</si>
  <si>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</si>
  <si>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</si>
  <si>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</si>
  <si>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</si>
  <si>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</si>
  <si>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</si>
  <si>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</si>
  <si>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</si>
  <si>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</si>
  <si>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</si>
  <si>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</si>
  <si>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</si>
  <si>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</si>
  <si>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</si>
  <si>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</si>
  <si>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</si>
  <si>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</si>
  <si>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</si>
  <si>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</si>
  <si>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</si>
  <si>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</si>
  <si>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</si>
  <si>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</si>
  <si>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</si>
  <si>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</si>
  <si>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</si>
  <si>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</si>
  <si>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</si>
  <si>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</si>
  <si>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</si>
  <si>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</si>
  <si>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</si>
  <si>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</si>
  <si>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</si>
  <si>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</si>
  <si>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</si>
  <si>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</si>
  <si>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</si>
  <si>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</si>
  <si>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</si>
  <si>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</si>
  <si>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</si>
  <si>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</si>
  <si>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</si>
  <si>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</si>
  <si>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</si>
  <si>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</si>
  <si>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</si>
  <si>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</si>
  <si>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</si>
  <si>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</si>
  <si>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</si>
  <si>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</si>
  <si>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</si>
  <si>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</si>
  <si>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</si>
  <si>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</si>
  <si>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</si>
  <si>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</si>
  <si>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</si>
  <si>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</si>
  <si>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</si>
  <si>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</si>
  <si>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</si>
  <si>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</si>
  <si>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</si>
  <si>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</si>
  <si>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</si>
  <si>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</si>
  <si>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</si>
  <si>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</si>
  <si>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</si>
  <si>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</si>
  <si>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</si>
  <si>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</si>
  <si>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</si>
  <si>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</si>
  <si>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</si>
  <si>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</si>
  <si>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</si>
  <si>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</si>
  <si>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</si>
  <si>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</si>
  <si>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</si>
  <si>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</si>
  <si>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</si>
  <si>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</si>
  <si>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</si>
  <si>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</si>
  <si>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</si>
  <si>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</si>
  <si>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</si>
  <si>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</si>
  <si>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</si>
  <si>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</si>
  <si>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</si>
  <si>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</si>
  <si>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</si>
  <si>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</si>
  <si>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</si>
  <si>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</si>
  <si>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</si>
  <si>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</si>
  <si>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</si>
  <si>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</si>
  <si>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</si>
  <si>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</si>
  <si>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</si>
  <si>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</si>
  <si>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</si>
  <si>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</si>
  <si>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</si>
  <si>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</si>
  <si>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</si>
  <si>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</si>
  <si>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</si>
  <si>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</si>
  <si>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</si>
  <si>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</si>
  <si>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</si>
  <si>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</si>
  <si>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</si>
  <si>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</si>
  <si>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</si>
  <si>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</si>
  <si>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</si>
  <si>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</si>
  <si>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</si>
  <si>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</si>
  <si>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</si>
  <si>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</si>
  <si>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</si>
  <si>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</si>
  <si>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</si>
  <si>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</si>
  <si>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</si>
  <si>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</si>
  <si>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</si>
  <si>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</si>
  <si>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</si>
  <si>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</si>
  <si>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</si>
  <si>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</si>
  <si>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</si>
  <si>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</si>
  <si>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</si>
  <si>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</si>
  <si>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</si>
  <si>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</si>
  <si>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</si>
  <si>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</si>
  <si>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</si>
  <si>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</si>
  <si>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</si>
  <si>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</si>
  <si>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</si>
  <si>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</si>
  <si>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</si>
  <si>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</si>
  <si>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</si>
  <si>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</si>
  <si>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</si>
  <si>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</si>
  <si>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</si>
  <si>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</si>
  <si>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</si>
  <si>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</si>
  <si>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</si>
  <si>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</si>
  <si>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</si>
  <si>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</si>
  <si>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</si>
  <si>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</si>
  <si>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</si>
  <si>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</si>
  <si>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</si>
  <si>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</si>
  <si>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</si>
  <si>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</si>
  <si>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</si>
  <si>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</si>
  <si>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</si>
  <si>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</si>
  <si>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</si>
  <si>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</si>
  <si>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</si>
  <si>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</si>
  <si>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</si>
  <si>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</si>
  <si>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</si>
  <si>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</si>
  <si>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</si>
  <si>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</si>
  <si>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</si>
  <si>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</si>
  <si>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</si>
  <si>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</si>
  <si>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</si>
  <si>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</si>
  <si>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</si>
  <si>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</si>
  <si>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</si>
  <si>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</si>
  <si>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</si>
  <si>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</si>
  <si>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</si>
  <si>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</si>
  <si>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</si>
  <si>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</si>
  <si>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</si>
  <si>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</si>
  <si>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</si>
  <si>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</si>
  <si>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</si>
  <si>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</si>
  <si>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</si>
  <si>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</si>
  <si>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</si>
  <si>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</si>
  <si>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</si>
  <si>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</si>
  <si>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</si>
  <si>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</si>
  <si>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</si>
  <si>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</si>
  <si>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</si>
  <si>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</si>
  <si>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</si>
  <si>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</si>
  <si>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</si>
  <si>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</si>
  <si>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</si>
  <si>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</si>
  <si>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</si>
  <si>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</si>
  <si>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</si>
  <si>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</si>
  <si>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</si>
  <si>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</si>
  <si>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</si>
  <si>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</si>
  <si>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</si>
  <si>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</si>
  <si>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</si>
  <si>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</si>
  <si>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</si>
  <si>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</si>
  <si>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</si>
  <si>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</si>
  <si>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</si>
  <si>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</si>
  <si>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</si>
  <si>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</si>
  <si>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</si>
  <si>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</si>
  <si>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</si>
  <si>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</si>
  <si>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</si>
  <si>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</si>
  <si>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</si>
  <si>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</si>
  <si>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</si>
  <si>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</si>
  <si>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</si>
  <si>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</si>
  <si>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</si>
  <si>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</si>
  <si>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</si>
  <si>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</si>
  <si>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</si>
  <si>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</si>
  <si>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</si>
  <si>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</si>
  <si>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</si>
  <si>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</si>
  <si>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</si>
  <si>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</si>
  <si>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</si>
  <si>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</si>
  <si>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</si>
  <si>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</si>
  <si>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</si>
  <si>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</si>
  <si>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</si>
  <si>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</si>
  <si>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</si>
  <si>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</si>
  <si>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</si>
  <si>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</si>
  <si>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</si>
  <si>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</si>
  <si>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</si>
  <si>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</si>
  <si>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</si>
  <si>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</si>
  <si>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</si>
  <si>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</si>
  <si>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</si>
  <si>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</si>
  <si>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</si>
  <si>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</si>
  <si>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</si>
  <si>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</si>
  <si>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</si>
  <si>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</si>
  <si>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</si>
  <si>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</si>
  <si>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</si>
  <si>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</si>
  <si>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</si>
  <si>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</si>
  <si>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</si>
  <si>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</si>
  <si>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</si>
  <si>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</si>
  <si>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</si>
  <si>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</si>
  <si>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</si>
  <si>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</si>
  <si>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</si>
  <si>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</si>
  <si>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</si>
  <si>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</si>
  <si>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</si>
  <si>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</si>
  <si>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</si>
  <si>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</si>
  <si>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</si>
  <si>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</si>
  <si>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</si>
  <si>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</si>
  <si>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</si>
  <si>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</si>
  <si>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</si>
  <si>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</si>
  <si>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</si>
  <si>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</si>
  <si>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</si>
  <si>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</si>
  <si>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</si>
  <si>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</si>
  <si>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</si>
  <si>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</si>
  <si>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</si>
  <si>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</si>
  <si>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</si>
  <si>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</si>
  <si>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</si>
  <si>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</si>
  <si>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</si>
  <si>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</si>
  <si>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</si>
  <si>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</si>
  <si>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</si>
  <si>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</si>
  <si>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</si>
  <si>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</si>
  <si>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</si>
  <si>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</si>
  <si>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</si>
  <si>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</si>
  <si>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</si>
  <si>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</si>
  <si>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</si>
  <si>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</si>
  <si>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</si>
  <si>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</si>
  <si>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</si>
  <si>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</si>
  <si>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</si>
  <si>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</si>
  <si>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</si>
  <si>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</si>
  <si>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</si>
  <si>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</si>
  <si>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</si>
  <si>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</si>
  <si>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</si>
  <si>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</si>
  <si>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</si>
  <si>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</si>
  <si>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</si>
  <si>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</si>
  <si>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</si>
  <si>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</si>
  <si>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</si>
  <si>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</si>
  <si>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</si>
  <si>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</si>
  <si>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</si>
  <si>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</si>
  <si>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</si>
  <si>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</si>
  <si>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</si>
  <si>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</si>
  <si>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</si>
  <si>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</si>
  <si>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</si>
  <si>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</si>
  <si>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</si>
  <si>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</si>
  <si>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</si>
  <si>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</si>
  <si>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</si>
  <si>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</si>
  <si>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</si>
  <si>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</si>
  <si>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</si>
  <si>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</si>
  <si>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</si>
  <si>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</si>
  <si>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</si>
  <si>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</si>
  <si>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</si>
  <si>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</si>
  <si>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</si>
  <si>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</si>
  <si>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</si>
  <si>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</si>
  <si>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</si>
  <si>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</si>
  <si>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</si>
  <si>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</si>
  <si>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</si>
  <si>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</si>
  <si>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</si>
  <si>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</si>
  <si>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</si>
  <si>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</si>
  <si>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</si>
  <si>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</si>
  <si>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</si>
  <si>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</si>
  <si>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</si>
  <si>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</si>
  <si>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</si>
  <si>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</si>
  <si>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</si>
  <si>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</si>
  <si>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</si>
  <si>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</si>
  <si>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</si>
  <si>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</si>
  <si>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</si>
  <si>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</si>
  <si>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</si>
  <si>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</si>
  <si>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</si>
  <si>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</si>
  <si>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</si>
  <si>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</si>
  <si>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</si>
  <si>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</si>
  <si>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</si>
  <si>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</si>
  <si>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</si>
  <si>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</si>
  <si>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</si>
  <si>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</si>
  <si>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</si>
  <si>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</si>
  <si>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</si>
  <si>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</si>
  <si>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</si>
  <si>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</si>
  <si>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</si>
  <si>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</si>
  <si>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</si>
  <si>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</si>
  <si>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</si>
  <si>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</si>
  <si>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</si>
  <si>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</si>
  <si>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</si>
  <si>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</si>
  <si>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</si>
  <si>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</si>
  <si>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</si>
  <si>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</si>
  <si>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</si>
  <si>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</si>
  <si>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</si>
  <si>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</si>
  <si>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</si>
  <si>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</si>
  <si>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</si>
  <si>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</si>
  <si>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</si>
  <si>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</si>
  <si>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</si>
  <si>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</si>
  <si>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</si>
  <si>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</si>
  <si>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</si>
  <si>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</si>
  <si>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</si>
  <si>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</si>
  <si>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</si>
  <si>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</si>
  <si>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</si>
  <si>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</si>
  <si>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</si>
  <si>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</si>
  <si>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</si>
  <si>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</si>
  <si>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</si>
  <si>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</si>
  <si>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</si>
  <si>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</si>
  <si>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</si>
  <si>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</si>
  <si>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</si>
  <si>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</si>
  <si>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</si>
  <si>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</si>
  <si>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</si>
  <si>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</si>
  <si>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</si>
  <si>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</si>
  <si>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</si>
  <si>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</si>
  <si>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</si>
  <si>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</si>
  <si>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</si>
  <si>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</si>
  <si>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</si>
  <si>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</si>
  <si>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</si>
  <si>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</si>
  <si>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</si>
  <si>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</si>
  <si>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</si>
  <si>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</si>
  <si>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</si>
  <si>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</si>
  <si>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</si>
  <si>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</si>
  <si>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</si>
  <si>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</si>
  <si>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</si>
  <si>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</si>
  <si>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</si>
  <si>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</si>
  <si>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</si>
  <si>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</si>
  <si>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</si>
  <si>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</si>
  <si>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</si>
  <si>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</si>
  <si>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</si>
  <si>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</si>
  <si>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</si>
  <si>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</si>
  <si>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</si>
  <si>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</si>
  <si>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</si>
  <si>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</si>
  <si>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</si>
  <si>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</si>
  <si>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</si>
  <si>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</si>
  <si>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</si>
  <si>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</si>
  <si>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</si>
  <si>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</si>
  <si>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</si>
  <si>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</si>
  <si>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</si>
  <si>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</si>
  <si>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</si>
  <si>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</si>
  <si>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</si>
  <si>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</si>
  <si>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</si>
  <si>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</si>
  <si>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</si>
  <si>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</si>
  <si>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</si>
  <si>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</si>
  <si>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</si>
  <si>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</si>
  <si>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</si>
  <si>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</si>
  <si>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</si>
  <si>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</si>
  <si>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</si>
  <si>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</si>
  <si>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</si>
  <si>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</si>
  <si>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</si>
  <si>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</si>
  <si>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</si>
  <si>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</si>
  <si>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</si>
  <si>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</si>
  <si>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</si>
  <si>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</si>
  <si>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</si>
  <si>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</si>
  <si>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</si>
  <si>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</si>
  <si>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</si>
  <si>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</si>
  <si>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</si>
  <si>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</si>
  <si>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</si>
  <si>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</si>
  <si>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</si>
  <si>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</si>
  <si>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</si>
  <si>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</si>
  <si>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</si>
  <si>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</si>
  <si>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</si>
  <si>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</si>
  <si>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</si>
  <si>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</si>
  <si>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</si>
  <si>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</si>
  <si>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</si>
  <si>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</si>
  <si>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</si>
  <si>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</si>
  <si>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</si>
  <si>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</si>
  <si>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</si>
  <si>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</si>
  <si>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</si>
  <si>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</si>
  <si>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</si>
  <si>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</si>
  <si>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</si>
  <si>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</si>
  <si>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</si>
  <si>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</si>
  <si>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</si>
  <si>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</si>
  <si>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</si>
  <si>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</si>
  <si>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</si>
  <si>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</si>
  <si>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</si>
  <si>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</si>
  <si>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</si>
  <si>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</si>
  <si>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</si>
  <si>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</si>
  <si>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</si>
  <si>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</si>
  <si>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</si>
  <si>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</si>
  <si>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</si>
  <si>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</si>
  <si>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</si>
  <si>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</si>
  <si>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</si>
  <si>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</si>
  <si>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</si>
  <si>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</si>
  <si>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</si>
  <si>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</si>
  <si>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</si>
  <si>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</si>
  <si>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</si>
  <si>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</si>
  <si>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</si>
  <si>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</si>
  <si>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</si>
  <si>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</si>
  <si>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</si>
  <si>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</si>
  <si>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</si>
  <si>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</si>
  <si>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</si>
  <si>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</si>
  <si>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</si>
  <si>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</si>
  <si>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</si>
  <si>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</si>
  <si>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</si>
  <si>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</si>
  <si>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</si>
  <si>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</si>
  <si>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</si>
  <si>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</si>
  <si>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</si>
  <si>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</si>
  <si>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</si>
  <si>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</si>
  <si>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</si>
  <si>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</si>
  <si>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</si>
  <si>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</si>
  <si>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</si>
  <si>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</si>
  <si>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</si>
  <si>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</si>
  <si>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</si>
  <si>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</si>
  <si>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</si>
  <si>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</si>
  <si>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</si>
  <si>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</si>
  <si>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</si>
  <si>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</si>
  <si>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</si>
  <si>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</si>
  <si>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</si>
  <si>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</si>
  <si>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</si>
  <si>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</si>
  <si>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</si>
  <si>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</si>
  <si>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</si>
  <si>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</si>
  <si>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</si>
  <si>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</si>
  <si>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</si>
  <si>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</si>
  <si>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</si>
  <si>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</si>
  <si>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</si>
  <si>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</si>
  <si>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</si>
  <si>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</si>
  <si>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</si>
  <si>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</si>
  <si>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</si>
  <si>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</si>
  <si>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</si>
  <si>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</si>
  <si>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</si>
  <si>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</si>
  <si>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</si>
  <si>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</si>
  <si>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</si>
  <si>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</si>
  <si>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</si>
  <si>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</si>
  <si>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</si>
  <si>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</si>
  <si>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</si>
  <si>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</si>
  <si>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</si>
  <si>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</si>
  <si>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</si>
  <si>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</si>
  <si>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</si>
  <si>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</si>
  <si>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</si>
  <si>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</si>
  <si>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</si>
  <si>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</si>
  <si>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</si>
  <si>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</si>
  <si>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</si>
  <si>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</si>
  <si>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</si>
  <si>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</si>
  <si>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</si>
  <si>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</si>
  <si>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</si>
  <si>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</si>
  <si>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</si>
  <si>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</si>
  <si>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</si>
  <si>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</si>
  <si>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</si>
  <si>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</si>
  <si>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</si>
  <si>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</si>
  <si>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</si>
  <si>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</si>
  <si>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</si>
  <si>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</si>
  <si>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</si>
  <si>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</si>
  <si>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</si>
  <si>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</si>
  <si>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</si>
  <si>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</si>
  <si>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</si>
  <si>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</si>
  <si>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</si>
  <si>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</si>
  <si>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</si>
  <si>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</si>
  <si>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</si>
  <si>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</si>
  <si>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</si>
  <si>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</si>
  <si>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</si>
  <si>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</si>
  <si>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</si>
  <si>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</si>
  <si>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</si>
  <si>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</si>
  <si>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</si>
  <si>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</si>
  <si>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</si>
  <si>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</si>
  <si>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</si>
  <si>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</si>
  <si>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</si>
  <si>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</si>
  <si>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</si>
  <si>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</si>
  <si>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</si>
  <si>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</si>
  <si>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</si>
  <si>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</si>
  <si>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</si>
  <si>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</si>
  <si>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</si>
  <si>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</si>
  <si>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</si>
  <si>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</si>
  <si>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</si>
  <si>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</si>
  <si>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</si>
  <si>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</si>
  <si>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</si>
  <si>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</si>
  <si>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</si>
  <si>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</si>
  <si>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</si>
  <si>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</si>
  <si>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</si>
  <si>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</si>
  <si>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</si>
  <si>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</si>
  <si>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</si>
  <si>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</si>
  <si>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</si>
  <si>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</si>
  <si>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</si>
  <si>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</si>
  <si>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</si>
  <si>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</si>
  <si>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</si>
  <si>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</si>
  <si>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</si>
  <si>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</si>
  <si>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</si>
  <si>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</si>
  <si>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</si>
  <si>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</si>
  <si>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</si>
  <si>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</si>
  <si>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</si>
  <si>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</si>
  <si>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</si>
  <si>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</si>
  <si>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</si>
  <si>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</si>
  <si>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</si>
  <si>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</si>
  <si>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</si>
  <si>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</si>
  <si>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</si>
  <si>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</si>
  <si>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</si>
  <si>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</si>
  <si>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</si>
  <si>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</si>
  <si>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</si>
  <si>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</si>
  <si>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</si>
  <si>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</si>
  <si>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</si>
  <si>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</si>
  <si>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</si>
  <si>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</si>
  <si>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</si>
  <si>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</si>
  <si>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</si>
  <si>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</si>
  <si>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</si>
  <si>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</si>
  <si>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</si>
  <si>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</si>
  <si>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</si>
  <si>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</si>
  <si>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</si>
  <si>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</si>
  <si>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</si>
  <si>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Com avaria, reallizando testes para pedir intervalo</t>
  </si>
  <si>
    <t>Maquina avariada</t>
  </si>
  <si>
    <t>Deslocamento de TGR para TIQ</t>
  </si>
  <si>
    <t>Silmara</t>
  </si>
  <si>
    <t>2( Eder e Anderson)</t>
  </si>
  <si>
    <t>A6046021</t>
  </si>
  <si>
    <t>TCSTGR</t>
  </si>
  <si>
    <t>Daniel</t>
  </si>
  <si>
    <t>ZTP-ZPD</t>
  </si>
  <si>
    <t>ZTPZPD</t>
  </si>
  <si>
    <t>Claudemir</t>
  </si>
  <si>
    <t>ZTP-TCS</t>
  </si>
  <si>
    <t>ZTPTCS</t>
  </si>
  <si>
    <t>2 (Edson e Nivaldo)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</si>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</sst>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5" ySplit="5" topLeftCell="T362" activePane="bottomRight" state="frozen"/>
      <selection pane="bottomRight" activeCell="Y362" sqref="Y36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/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1908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1909</v>
      </c>
      <c r="X356" s="216" t="s">
        <v>965</v>
      </c>
      <c r="Y356" s="158"/>
      <c r="Z356" s="158"/>
      <c r="AA356" s="83" t="s">
        <v>1910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1911</v>
      </c>
      <c r="BK356" s="16" t="s">
        <v>1912</v>
      </c>
      <c r="BL356" s="15"/>
      <c r="BM356" s="14" t="s">
        <v>986</v>
      </c>
      <c r="BN356" s="14" t="s">
        <v>1016</v>
      </c>
      <c r="BO356" s="165" t="s">
        <v>1068</v>
      </c>
      <c r="BP356" s="16" t="s">
        <v>1913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1914</v>
      </c>
      <c r="W357" s="343" t="s">
        <v>1915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1916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1917</v>
      </c>
      <c r="BK358" s="16" t="s">
        <v>1918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1919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1920</v>
      </c>
      <c r="N359" s="202" t="s">
        <v>1921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1922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/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1923</v>
      </c>
      <c r="BK360" s="16" t="s">
        <v>1924</v>
      </c>
      <c r="BL360" s="15"/>
      <c r="BM360" s="14" t="s">
        <v>988</v>
      </c>
      <c r="BN360" s="14" t="s">
        <v>1007</v>
      </c>
      <c r="BO360" s="165" t="s">
        <v>1080</v>
      </c>
      <c r="BP360" s="16"/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>
      <c r="A361" s="50" t="str">
        <f t="shared" ref="A361:A364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/>
      <c r="AS362" s="240"/>
      <c r="AT362" s="240"/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23" t="str">
        <f t="shared" si="14"/>
        <v/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1925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>
      <c r="A364" s="50" t="str">
        <f t="shared" si="13"/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358"/>
      <c r="J364" s="215"/>
      <c r="K364" s="215"/>
      <c r="L364" s="83"/>
      <c r="M364" s="202"/>
      <c r="N364" s="202"/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4"/>
        <v/>
      </c>
    </row>
    <row r="365" spans="1:72">
      <c r="A365" s="50" t="str">
        <f>D365&amp;B365</f>
        <v>V8646021</v>
      </c>
      <c r="B365" s="171">
        <v>46021</v>
      </c>
      <c r="C365" s="8">
        <f>IF(BS_CONTROLE[[#This Row],[DATA]]="","",WEEKNUM(BS_CONTROLE[[#This Row],[DATA]]))</f>
        <v>53</v>
      </c>
      <c r="D365" s="51" t="s">
        <v>819</v>
      </c>
      <c r="E365" s="310">
        <v>345</v>
      </c>
      <c r="F365" s="172" t="s">
        <v>714</v>
      </c>
      <c r="G365" s="9" t="str">
        <f>IF(D365="","*",VLOOKUP(F365,BS_ATIVIDADE[#All],3,FALSE))</f>
        <v>MECANIZAÇÃO - SOCADORA</v>
      </c>
      <c r="H365" s="173" t="s">
        <v>595</v>
      </c>
      <c r="I365" s="173" t="s">
        <v>595</v>
      </c>
      <c r="J365" s="215">
        <v>74</v>
      </c>
      <c r="K365" s="215">
        <v>483</v>
      </c>
      <c r="L365" s="215">
        <v>485</v>
      </c>
      <c r="M365" s="202" t="s">
        <v>589</v>
      </c>
      <c r="N365" s="202" t="s">
        <v>590</v>
      </c>
      <c r="O365" s="173">
        <v>0.29166666666666669</v>
      </c>
      <c r="P365" s="173">
        <v>0.16666666666666666</v>
      </c>
      <c r="Q365" s="83">
        <f>560*4</f>
        <v>2240</v>
      </c>
      <c r="R365" s="10" t="str">
        <f>IFERROR(_xlfn.XLOOKUP(F365, BS_ATIVIDADE[ATIVIDADE],BS_ATIVIDADE[UNIDADE] ), "*")</f>
        <v>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1589</v>
      </c>
      <c r="W365" s="173" t="s">
        <v>1240</v>
      </c>
      <c r="X365" s="216" t="s">
        <v>960</v>
      </c>
      <c r="Y365" s="158" t="s">
        <v>959</v>
      </c>
      <c r="Z365" s="158"/>
      <c r="AA365" s="83">
        <v>1</v>
      </c>
      <c r="AB365" s="70" t="s">
        <v>957</v>
      </c>
      <c r="AC365" s="70" t="s">
        <v>608</v>
      </c>
      <c r="AD365" s="173">
        <v>0.25</v>
      </c>
      <c r="AE365" s="83">
        <v>6236</v>
      </c>
      <c r="AF365" s="83"/>
      <c r="AG365" s="83"/>
      <c r="AH365" s="48"/>
      <c r="AI365" s="142" t="str">
        <f>IF(BS_CONTROLE[[#This Row],[Atividade]]=0, "-", BS_CONTROLE[[#This Row],[Atividade]])</f>
        <v>MECANIZAÇÃO - SOCADORA</v>
      </c>
      <c r="AJ365" s="9" t="str">
        <f>IF(D365="","*",VLOOKUP(AI365,BS_ATIVIDADE[#Data],3,FALSE))</f>
        <v>MECANIZAÇÃO - SOCADORA</v>
      </c>
      <c r="AK365" s="276" t="str">
        <f>IF(BS_CONTROLE[[#This Row],[Local - Partida]]=0, "-", BS_CONTROLE[[#This Row],[Local - Partida]])</f>
        <v>TGR2</v>
      </c>
      <c r="AL365" s="276" t="str">
        <f>IF(BS_CONTROLE[[#This Row],[Local - Encerramento]]=0, "-", BS_CONTROLE[[#This Row],[Local - Encerramento]])</f>
        <v>TGR2</v>
      </c>
      <c r="AM365" s="276" t="str">
        <f>IF(BS_CONTROLE[[#This Row],[Entre - Estações]]=0, "-", BS_CONTROLE[[#This Row],[Entre - Estações]])</f>
        <v>TBR-TGR</v>
      </c>
      <c r="AN365" s="276" t="str">
        <f>IF(BS_CONTROLE[[#This Row],[SB]]=0, "-", BS_CONTROLE[[#This Row],[SB]])</f>
        <v>TBR487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483</v>
      </c>
      <c r="AQ365" s="278">
        <f>IF(BS_CONTROLE[[#This Row],[KM - Fim]]=0, "-", BS_CONTROLE[[#This Row],[KM - Fim]])</f>
        <v>485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Antonioni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tr">
        <f>D366&amp;B366</f>
        <v>W5046021</v>
      </c>
      <c r="B366" s="171">
        <v>46021</v>
      </c>
      <c r="C366" s="8">
        <f>IF(BS_CONTROLE[[#This Row],[DATA]]="","",WEEKNUM(BS_CONTROLE[[#This Row],[DATA]]))</f>
        <v>53</v>
      </c>
      <c r="D366" s="51" t="s">
        <v>836</v>
      </c>
      <c r="E366" s="310">
        <v>346</v>
      </c>
      <c r="F366" s="172" t="s">
        <v>772</v>
      </c>
      <c r="G366" s="9" t="str">
        <f>IF(D366="","*",VLOOKUP(F366,BS_ATIVIDADE[#All],3,FALSE))</f>
        <v>DORMENTE - DESCARGA</v>
      </c>
      <c r="H366" s="173" t="s">
        <v>570</v>
      </c>
      <c r="I366" s="173" t="s">
        <v>570</v>
      </c>
      <c r="J366" s="215">
        <v>74</v>
      </c>
      <c r="K366" s="215">
        <v>450</v>
      </c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6" s="202" t="s">
        <v>1908</v>
      </c>
      <c r="O366" s="173">
        <v>0.41666666666666669</v>
      </c>
      <c r="P366" s="173">
        <v>8.3333333333333329E-2</v>
      </c>
      <c r="Q366" s="83">
        <v>1000</v>
      </c>
      <c r="R366" s="10" t="str">
        <f>IFERROR(_xlfn.XLOOKUP(F366, BS_ATIVIDADE[ATIVIDADE],BS_ATIVIDADE[UNIDADE] ), "*")</f>
        <v>Nº DE DORMENTES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6" s="80" t="str">
        <f>IFERROR(_xlfn.XLOOKUP(J366, BASE_MAPA!$D$2:$D$359, BASE_MAPA!$I$2:$I$359), "ERRO")</f>
        <v>MARCO INICIAL - ALTO ARAGUAIA</v>
      </c>
      <c r="V366" s="196" t="s">
        <v>1926</v>
      </c>
      <c r="W366" s="173" t="s">
        <v>1909</v>
      </c>
      <c r="X366" s="216" t="s">
        <v>965</v>
      </c>
      <c r="Y366" s="158" t="s">
        <v>968</v>
      </c>
      <c r="Z366" s="158"/>
      <c r="AA366" s="83" t="s">
        <v>1927</v>
      </c>
      <c r="AB366" s="70" t="s">
        <v>957</v>
      </c>
      <c r="AC366" s="70" t="s">
        <v>608</v>
      </c>
      <c r="AD366" s="173">
        <v>0.29166666666666669</v>
      </c>
      <c r="AE366" s="83">
        <v>7671</v>
      </c>
      <c r="AF366" s="83">
        <v>9322</v>
      </c>
      <c r="AG366" s="83"/>
      <c r="AH366" s="48"/>
      <c r="AI366" s="142" t="str">
        <f>IF(BS_CONTROLE[[#This Row],[Atividade]]=0, "-", BS_CONTROLE[[#This Row],[Atividade]])</f>
        <v>PDM - DESCARGA - DORMENTE</v>
      </c>
      <c r="AJ366" s="9" t="str">
        <f>IF(D366="","*",VLOOKUP(AI366,BS_ATIVIDADE[#Data],3,FALSE))</f>
        <v>DORMENTE - DESCARGA</v>
      </c>
      <c r="AK366" s="276" t="str">
        <f>IF(BS_CONTROLE[[#This Row],[Local - Partida]]=0, "-", BS_CONTROLE[[#This Row],[Local - Partida]])</f>
        <v>TOM2</v>
      </c>
      <c r="AL366" s="276" t="str">
        <f>IF(BS_CONTROLE[[#This Row],[Local - Encerramento]]=0, "-", BS_CONTROLE[[#This Row],[Local - Encerramento]])</f>
        <v>TOM2</v>
      </c>
      <c r="AM366" s="276" t="str">
        <f>IF(BS_CONTROLE[[#This Row],[Entre - Estações]]=0, "-", BS_CONTROLE[[#This Row],[Entre - Estações]])</f>
        <v>TPC-TVL</v>
      </c>
      <c r="AN366" s="276" t="str">
        <f>IF(BS_CONTROLE[[#This Row],[SB]]=0, "-", BS_CONTROLE[[#This Row],[SB]])</f>
        <v>TVL1/TVL464/464TBR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450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Nº DE DORMENTES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Silmara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">
        <v>1928</v>
      </c>
      <c r="B367" s="171">
        <v>46021</v>
      </c>
      <c r="C367" s="8">
        <v>53</v>
      </c>
      <c r="D367" s="51" t="s">
        <v>707</v>
      </c>
      <c r="E367" s="310">
        <v>346</v>
      </c>
      <c r="F367" s="172" t="s">
        <v>630</v>
      </c>
      <c r="G367" s="9" t="s">
        <v>628</v>
      </c>
      <c r="H367" s="173" t="s">
        <v>523</v>
      </c>
      <c r="I367" s="173" t="s">
        <v>593</v>
      </c>
      <c r="J367" s="215">
        <v>74</v>
      </c>
      <c r="K367" s="215">
        <v>291</v>
      </c>
      <c r="L367" s="83">
        <v>500</v>
      </c>
      <c r="M367" s="202" t="s">
        <v>192</v>
      </c>
      <c r="N367" s="202" t="s">
        <v>1929</v>
      </c>
      <c r="O367" s="173">
        <v>0.33333333333333331</v>
      </c>
      <c r="P367" s="173">
        <v>4.1666666666666664E-2</v>
      </c>
      <c r="Q367" s="83">
        <v>200</v>
      </c>
      <c r="R367" s="10" t="s">
        <v>627</v>
      </c>
      <c r="S367" s="281" t="s">
        <v>12</v>
      </c>
      <c r="T367" s="281" t="s">
        <v>192</v>
      </c>
      <c r="U367" s="80" t="s">
        <v>182</v>
      </c>
      <c r="V367" s="196" t="s">
        <v>1930</v>
      </c>
      <c r="W367" s="173" t="s">
        <v>1778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5487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TCS291</v>
      </c>
      <c r="AL367" s="276" t="str">
        <f>IF(BS_CONTROLE[[#This Row],[Local - Encerramento]]=0, "-", BS_CONTROLE[[#This Row],[Local - Encerramento]])</f>
        <v>TGR</v>
      </c>
      <c r="AM367" s="276" t="str">
        <f>IF(BS_CONTROLE[[#This Row],[Entre - Estações]]=0, "-", BS_CONTROLE[[#This Row],[Entre - Estações]])</f>
        <v>TCS-TGR</v>
      </c>
      <c r="AN367" s="276" t="str">
        <f>IF(BS_CONTROLE[[#This Row],[SB]]=0, "-", BS_CONTROLE[[#This Row],[SB]])</f>
        <v>TCSTGR</v>
      </c>
      <c r="AO367" s="277">
        <f>IF(BS_CONTROLE[[#This Row],[SUB]]=0, "-", BS_CONTROLE[[#This Row],[SUB]])</f>
        <v>74</v>
      </c>
      <c r="AP367" s="278">
        <f>IF(BS_CONTROLE[[#This Row],[KM - Inicio]]=0, "-", BS_CONTROLE[[#This Row],[KM - Inicio]])</f>
        <v>291</v>
      </c>
      <c r="AQ367" s="278">
        <f>IF(BS_CONTROLE[[#This Row],[KM - Fim]]=0, "-", BS_CONTROLE[[#This Row],[KM - Fim]])</f>
        <v>500</v>
      </c>
      <c r="AR367" s="240"/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7" s="11" t="str">
        <f>IFERROR(_xlfn.XLOOKUP(AO367, BASE_MAPA!$D$2:$D$359, BASE_MAPA!$I$2:$I$359), "ERRO")</f>
        <v>MARCO INICIAL - ALTO ARAGUAIA</v>
      </c>
      <c r="BF367" s="279" t="str">
        <f>IF(BS_CONTROLE[[#This Row],[Responsavel pelo boletim]]=0, "-", BS_CONTROLE[[#This Row],[Responsavel pelo boletim]])</f>
        <v>Daniel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4"/>
        <v/>
      </c>
    </row>
    <row r="368" spans="1:72">
      <c r="A368" s="50" t="str">
        <f>D368&amp;B368</f>
        <v>A7446021</v>
      </c>
      <c r="B368" s="171">
        <v>46021</v>
      </c>
      <c r="C368" s="8">
        <f>IF(BS_CONTROLE[[#This Row],[DATA]]="","",WEEKNUM(BS_CONTROLE[[#This Row],[DATA]]))</f>
        <v>53</v>
      </c>
      <c r="D368" s="51" t="s">
        <v>732</v>
      </c>
      <c r="E368" s="310">
        <v>348</v>
      </c>
      <c r="F368" s="172" t="s">
        <v>630</v>
      </c>
      <c r="G368" s="9" t="str">
        <f>IF(D368="","*",VLOOKUP(F368,BS_ATIVIDADE[#All],3,FALSE))</f>
        <v>DETECÇÃO</v>
      </c>
      <c r="H368" s="173" t="s">
        <v>518</v>
      </c>
      <c r="I368" s="173" t="s">
        <v>490</v>
      </c>
      <c r="J368" s="215">
        <v>78</v>
      </c>
      <c r="K368" s="215">
        <v>336</v>
      </c>
      <c r="L368" s="83" t="s">
        <v>608</v>
      </c>
      <c r="M368" s="202" t="s">
        <v>1931</v>
      </c>
      <c r="N368" s="202" t="s">
        <v>1932</v>
      </c>
      <c r="O368" s="173">
        <v>0.375</v>
      </c>
      <c r="P368" s="173">
        <v>4.1666666666666664E-2</v>
      </c>
      <c r="Q368" s="83">
        <v>32</v>
      </c>
      <c r="R368" s="10" t="str">
        <f>IFERROR(_xlfn.XLOOKUP(F368, BS_ATIVIDADE[ATIVIDADE],BS_ATIVIDADE[UNIDADE] ), "*")</f>
        <v>KM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1933</v>
      </c>
      <c r="W368" s="173" t="s">
        <v>1262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6294</v>
      </c>
      <c r="AF368" s="83"/>
      <c r="AG368" s="83"/>
      <c r="AH368" s="48"/>
      <c r="AI368" s="142" t="str">
        <f>IF(BS_CONTROLE[[#This Row],[Atividade]]=0, "-", BS_CONTROLE[[#This Row],[Atividade]])</f>
        <v>DETECÇÃO - RONDA 7 DIAS</v>
      </c>
      <c r="AJ368" s="9" t="str">
        <f>IF(D368="","*",VLOOKUP(AI368,BS_ATIVIDADE[#Data],3,FALSE))</f>
        <v>DETECÇÃO</v>
      </c>
      <c r="AK368" s="276" t="str">
        <f>IF(BS_CONTROLE[[#This Row],[Local - Partida]]=0, "-", BS_CONTROLE[[#This Row],[Local - Partida]])</f>
        <v>ZTP</v>
      </c>
      <c r="AL368" s="276" t="str">
        <f>IF(BS_CONTROLE[[#This Row],[Local - Encerramento]]=0, "-", BS_CONTROLE[[#This Row],[Local - Encerramento]])</f>
        <v>ZPD</v>
      </c>
      <c r="AM368" s="276" t="str">
        <f>IF(BS_CONTROLE[[#This Row],[Entre - Estações]]=0, "-", BS_CONTROLE[[#This Row],[Entre - Estações]])</f>
        <v>ZTP-ZPD</v>
      </c>
      <c r="AN368" s="276" t="str">
        <f>IF(BS_CONTROLE[[#This Row],[SB]]=0, "-", BS_CONTROLE[[#This Row],[SB]])</f>
        <v>ZTPZPD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336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KM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Claudemir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 t="s">
        <v>965</v>
      </c>
      <c r="Y370" s="158" t="s">
        <v>968</v>
      </c>
      <c r="Z370" s="158"/>
      <c r="AA370" s="83">
        <v>1</v>
      </c>
      <c r="AB370" s="70" t="s">
        <v>957</v>
      </c>
      <c r="AC370" s="70" t="s">
        <v>608</v>
      </c>
      <c r="AD370" s="173">
        <v>0.29166666666666669</v>
      </c>
      <c r="AE370" s="83">
        <v>6242</v>
      </c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>
      <c r="A371" s="50" t="str">
        <f>D371&amp;B371</f>
        <v>E4646021</v>
      </c>
      <c r="B371" s="171">
        <v>46021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">
        <v>1934</v>
      </c>
      <c r="N371" s="202" t="s">
        <v>1935</v>
      </c>
      <c r="O371" s="173">
        <v>0.625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 t="s">
        <v>1773</v>
      </c>
      <c r="W371" s="173" t="s">
        <v>1624</v>
      </c>
      <c r="X371" s="216" t="s">
        <v>965</v>
      </c>
      <c r="Y371" s="158" t="s">
        <v>968</v>
      </c>
      <c r="Z371" s="158"/>
      <c r="AA371" s="83" t="s">
        <v>1936</v>
      </c>
      <c r="AB371" s="70" t="s">
        <v>957</v>
      </c>
      <c r="AC371" s="70" t="s">
        <v>608</v>
      </c>
      <c r="AD371" s="173">
        <v>0.54166666666666663</v>
      </c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ZTP-TCS</v>
      </c>
      <c r="AN371" s="276" t="str">
        <f>IF(BS_CONTROLE[[#This Row],[SB]]=0, "-", BS_CONTROLE[[#This Row],[SB]])</f>
        <v>ZTPTCS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PCM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>
      <c r="A372" s="50" t="str">
        <f>D372&amp;B372</f>
        <v>A01</v>
      </c>
      <c r="B372" s="171"/>
      <c r="C372" s="8" t="str">
        <f>IF(BS_CONTROLE[[#This Row],[DATA]]="","",WEEKNUM(BS_CONTROLE[[#This Row],[DATA]]))</f>
        <v/>
      </c>
      <c r="D372" s="51" t="s">
        <v>673</v>
      </c>
      <c r="E372" s="310">
        <v>352</v>
      </c>
      <c r="F372" s="172" t="s">
        <v>682</v>
      </c>
      <c r="G372" s="9" t="str">
        <f>IF(D372="","*",VLOOKUP(F372,BS_ATIVIDADE[#All],3,FALSE))</f>
        <v>OUTROS</v>
      </c>
      <c r="H372" s="173"/>
      <c r="I372" s="173"/>
      <c r="J372" s="215">
        <v>101</v>
      </c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BINÁRIO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PORTO NACIONAL - OURO VERDE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INSPEÇÃO AUTO DE LINHA</v>
      </c>
      <c r="AJ372" s="9" t="str">
        <f>IF(D372="","*",VLOOKUP(AI372,BS_ATIVIDADE[#Data],3,FALSE))</f>
        <v>OUTROS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>
        <f>IF(BS_CONTROLE[[#This Row],[SUB]]=0, "-", BS_CONTROLE[[#This Row],[SUB]])</f>
        <v>101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>
        <f>IF(D372="","*",IFERROR(IF(ISODD(COUNT(AS372:AX372)),"ERRO",SUM((AT372-AS372),(AV372-AU372),(AX372-AW372))),"ERRO"))</f>
        <v>0</v>
      </c>
      <c r="AZ372" s="13"/>
      <c r="BA372" s="71"/>
      <c r="BB372" s="10" t="str">
        <f>IFERROR(_xlfn.XLOOKUP(AI372, BS_ATIVIDADE[ATIVIDADE],BS_ATIVIDADE[UNIDADE] ), "*")</f>
        <v>BINÁRIO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PORTO NACIONAL - OURO VERDE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>
      <c r="A375" s="50"/>
      <c r="B375" s="171"/>
      <c r="C375" s="8"/>
      <c r="D375" s="51"/>
      <c r="E375" s="310"/>
      <c r="F375" s="172"/>
      <c r="G375" s="9"/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/>
      <c r="S375" s="281"/>
      <c r="T375" s="281"/>
      <c r="U375" s="80"/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>
      <c r="A376" s="50"/>
      <c r="B376" s="171"/>
      <c r="C376" s="8"/>
      <c r="D376" s="51"/>
      <c r="E376" s="310"/>
      <c r="F376" s="172"/>
      <c r="G376" s="9"/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/>
      <c r="S376" s="281"/>
      <c r="T376" s="281"/>
      <c r="U376" s="80"/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>
      <c r="A377" s="50"/>
      <c r="B377" s="171"/>
      <c r="C377" s="8"/>
      <c r="D377" s="51"/>
      <c r="E377" s="310"/>
      <c r="F377" s="172"/>
      <c r="G377" s="9"/>
      <c r="H377" s="173"/>
      <c r="I377" s="173"/>
      <c r="J377" s="215"/>
      <c r="K377" s="215"/>
      <c r="L377" s="83"/>
      <c r="M377" s="202"/>
      <c r="N377" s="202"/>
      <c r="O377" s="173"/>
      <c r="P377" s="173"/>
      <c r="Q377" s="83"/>
      <c r="R377" s="10"/>
      <c r="S377" s="281"/>
      <c r="T377" s="281"/>
      <c r="U377" s="80"/>
      <c r="V377" s="196"/>
      <c r="W377" s="173"/>
      <c r="X377" s="216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4"/>
        <v/>
      </c>
    </row>
    <row r="378" spans="1:72">
      <c r="A378" s="50"/>
      <c r="B378" s="171"/>
      <c r="C378" s="8"/>
      <c r="D378" s="51"/>
      <c r="E378" s="310"/>
      <c r="F378" s="172"/>
      <c r="G378" s="9"/>
      <c r="H378" s="173"/>
      <c r="I378" s="173"/>
      <c r="J378" s="215"/>
      <c r="K378" s="215"/>
      <c r="L378" s="83"/>
      <c r="M378" s="202"/>
      <c r="N378" s="202"/>
      <c r="O378" s="173"/>
      <c r="P378" s="173"/>
      <c r="Q378" s="83"/>
      <c r="R378" s="10"/>
      <c r="S378" s="281"/>
      <c r="T378" s="281"/>
      <c r="U378" s="80"/>
      <c r="V378" s="196"/>
      <c r="W378" s="173"/>
      <c r="X378" s="216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4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4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4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4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4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5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5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5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5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5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5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5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5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5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5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5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5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5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5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5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5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5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5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5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5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6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6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6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6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6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6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6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6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6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6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6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6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6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6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6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6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6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6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6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6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6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6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6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6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6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6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6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6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6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6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6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6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6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6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6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6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6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6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6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6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6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7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8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8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8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8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8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8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8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8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8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8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8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8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8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8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8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8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8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8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8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8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8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8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8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8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8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8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8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8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8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8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8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8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8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8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8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8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8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8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8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8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8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8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8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8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8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8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364 J366:K451 J365:L365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1 AD283:AD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6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10">
      <formula>$BU6=1</formula>
    </cfRule>
  </conditionalFormatting>
  <conditionalFormatting sqref="BQ235 BQ246:BQ247 BQ6:BQ232 BQ249:BQ251 BQ258:BQ260 BQ267:BQ268 BQ280:BQ600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3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6:X523">
    <cfRule type="cellIs" dxfId="3822" priority="23350" operator="equal">
      <formula>"OPORTUNIDADE"</formula>
    </cfRule>
  </conditionalFormatting>
  <conditionalFormatting sqref="Z476:Z523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6:Z523">
    <cfRule type="cellIs" dxfId="3819" priority="23347" operator="equal">
      <formula>"OPORTUNIDADE"</formula>
    </cfRule>
  </conditionalFormatting>
  <conditionalFormatting sqref="Y1048576">
    <cfRule type="cellIs" dxfId="3818" priority="23232" operator="equal">
      <formula>"OPORTUNIDADE"</formula>
    </cfRule>
  </conditionalFormatting>
  <conditionalFormatting sqref="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4:Z549">
    <cfRule type="cellIs" dxfId="3815" priority="22967" operator="equal">
      <formula>"OPORTUNIDADE"</formula>
    </cfRule>
  </conditionalFormatting>
  <conditionalFormatting sqref="Z524:Z549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50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50">
    <cfRule type="cellIs" dxfId="3810" priority="22952" operator="equal">
      <formula>"OPORTUNIDADE"</formula>
    </cfRule>
  </conditionalFormatting>
  <conditionalFormatting sqref="Z550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50">
    <cfRule type="cellIs" dxfId="3807" priority="22949" operator="equal">
      <formula>"OPORTUNIDADE"</formula>
    </cfRule>
  </conditionalFormatting>
  <conditionalFormatting sqref="BI550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9">
      <formula>$BU493=1</formula>
    </cfRule>
  </conditionalFormatting>
  <conditionalFormatting sqref="AZ526:AZ550">
    <cfRule type="expression" dxfId="3805" priority="23729">
      <formula>$BU498=1</formula>
    </cfRule>
  </conditionalFormatting>
  <conditionalFormatting sqref="BI524:BI549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600">
    <cfRule type="iconSet" priority="23936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6">
      <iconSet showValue="0">
        <cfvo type="percent" val="0"/>
        <cfvo type="num" val="1"/>
        <cfvo type="num" val="1" gte="0"/>
      </iconSet>
    </cfRule>
    <cfRule type="iconSet" priority="2399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 K365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6" sqref="A6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1937</v>
      </c>
      <c r="D5" s="388"/>
      <c r="E5" s="388"/>
      <c r="F5" s="388"/>
      <c r="G5" s="388"/>
      <c r="H5" s="388"/>
      <c r="I5" s="388"/>
      <c r="J5" s="389"/>
      <c r="K5" s="390" t="s">
        <v>1938</v>
      </c>
      <c r="L5" s="391"/>
      <c r="M5" s="391"/>
      <c r="N5" s="391"/>
      <c r="O5" s="392" t="s">
        <v>1939</v>
      </c>
      <c r="P5" s="393"/>
      <c r="Q5" s="394"/>
    </row>
    <row r="6" spans="1:17" s="93" customFormat="1" ht="15.75" customHeight="1">
      <c r="A6" s="87" t="s">
        <v>1940</v>
      </c>
      <c r="B6" s="94" t="s">
        <v>1941</v>
      </c>
      <c r="C6" s="95" t="s">
        <v>1172</v>
      </c>
      <c r="D6" s="96" t="s">
        <v>1173</v>
      </c>
      <c r="E6" s="95" t="s">
        <v>1942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1943</v>
      </c>
      <c r="M6" s="139" t="s">
        <v>627</v>
      </c>
      <c r="N6" s="140" t="s">
        <v>1167</v>
      </c>
      <c r="O6" s="244" t="s">
        <v>1210</v>
      </c>
      <c r="P6" s="157"/>
      <c r="Q6" s="192" t="s">
        <v>1944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FN_MC!BH373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1944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abSelected="1" topLeftCell="H419" workbookViewId="0">
      <selection activeCell="A4" sqref="A4:U4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1945</v>
      </c>
      <c r="W1" s="400"/>
      <c r="X1" s="400"/>
      <c r="Y1" s="104"/>
    </row>
    <row r="2" spans="1:25" s="100" customFormat="1" ht="11.25" customHeight="1">
      <c r="A2" s="105" t="s">
        <v>1946</v>
      </c>
      <c r="B2" s="105" t="s">
        <v>1941</v>
      </c>
      <c r="C2" s="105" t="s">
        <v>603</v>
      </c>
      <c r="D2" s="106" t="s">
        <v>1172</v>
      </c>
      <c r="E2" s="106" t="s">
        <v>1173</v>
      </c>
      <c r="F2" s="106" t="s">
        <v>1940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1947</v>
      </c>
      <c r="U2" s="108" t="s">
        <v>1175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1350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1350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180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1350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1350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1350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1350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1350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1350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1350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1350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1350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1350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60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1350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1350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180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1350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15.3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180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1350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180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1350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15.3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1350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15.3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1350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15.3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15.3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1350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15.3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180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1350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15.3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180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1350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15.3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1350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15.3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1350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1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1350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15.3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60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180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1350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1350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180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0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1350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 t="str">
        <f ca="1">_xlfn.XLOOKUP(G360&amp;$V$2,BS_CONTROLE[CHAVE],BS_CONTROLE[Quantidade_11],"-")</f>
        <v>-</v>
      </c>
      <c r="W360" s="112">
        <f ca="1">_xlfn.XLOOKUP(G360&amp;$W$2,BS_CONTROLE[CHAVE],BS_CONTROLE[Quantidade_11],"-")</f>
        <v>180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1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*</v>
      </c>
      <c r="L362" s="110" t="str">
        <f>IF(FN_MC!N364="","*",FN_MC!N364)</f>
        <v>*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*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IF(FN_MC!Y365="","*",FN_MC!Y365)</f>
        <v>SIM</v>
      </c>
      <c r="B363" s="109" t="str">
        <f>IF(FN_MC!X365="","*",FN_MC!X365)</f>
        <v>Contrato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V86</v>
      </c>
      <c r="H363" s="110" t="str">
        <f>IF(FN_MC!F365="","*",FN_MC!F365)</f>
        <v>MECANIZAÇÃO - SOCADORA</v>
      </c>
      <c r="I363" s="110" t="str">
        <f>IF(FN_MC!H365="","*",FN_MC!H365)</f>
        <v>TGR2</v>
      </c>
      <c r="J363" s="110" t="str">
        <f>IF(FN_MC!I365="","*",FN_MC!I365)</f>
        <v>TGR2</v>
      </c>
      <c r="K363" s="110" t="str">
        <f>IF(FN_MC!M365="","*",FN_MC!M365)</f>
        <v>TBR-TGR</v>
      </c>
      <c r="L363" s="110" t="str">
        <f>IF(FN_MC!N365="","*",FN_MC!N365)</f>
        <v>TBR487</v>
      </c>
      <c r="M363" s="111">
        <f>IF(FN_MC!J365="","*",FN_MC!J365)</f>
        <v>74</v>
      </c>
      <c r="N363" s="288">
        <f>IF(FN_MC!K365="","*",FN_MC!K365)</f>
        <v>483</v>
      </c>
      <c r="O363" s="288">
        <f>IF(FN_MC!L365="","*",FN_MC!L365)</f>
        <v>485</v>
      </c>
      <c r="P363" s="111"/>
      <c r="Q363" s="128">
        <f>IF(FN_MC!O365="","*",FN_MC!O365)</f>
        <v>0.29166666666666669</v>
      </c>
      <c r="R363" s="128">
        <f>IF(FN_MC!P365="","*",FN_MC!P365)</f>
        <v>0.16666666666666666</v>
      </c>
      <c r="S363" s="110" t="str">
        <f>IF(FN_MC!Q365="","*",CONCATENATE(FN_MC!Q365," ",FN_MC!R365))</f>
        <v>2240 M</v>
      </c>
      <c r="T363" s="110" t="str">
        <f>IF(FN_MC!V365="","*",FN_MC!V365)</f>
        <v>Antonioni</v>
      </c>
      <c r="U363" s="110" t="str">
        <f>IF(FN_MC!W365="","*",FN_MC!W365)</f>
        <v>Socaria mecanizada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1350</v>
      </c>
    </row>
    <row r="364" spans="1:24" s="113" customFormat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W50</v>
      </c>
      <c r="H364" s="110" t="str">
        <f>IF(FN_MC!F366="","*",FN_MC!F366)</f>
        <v>PDM - DESCARGA - DORMENTE</v>
      </c>
      <c r="I364" s="110" t="str">
        <f>IF(FN_MC!H366="","*",FN_MC!H366)</f>
        <v>TOM2</v>
      </c>
      <c r="J364" s="110" t="str">
        <f>IF(FN_MC!I366="","*",FN_MC!I366)</f>
        <v>TOM2</v>
      </c>
      <c r="K364" s="110" t="str">
        <f>IF(FN_MC!M366="","*",FN_MC!M366)</f>
        <v>TPC-TVL</v>
      </c>
      <c r="L364" s="110" t="str">
        <f>IF(FN_MC!N366="","*",FN_MC!N366)</f>
        <v>TVL1/TVL464/464TBR</v>
      </c>
      <c r="M364" s="111">
        <f>IF(FN_MC!J366="","*",FN_MC!J366)</f>
        <v>74</v>
      </c>
      <c r="N364" s="288">
        <f>IF(FN_MC!K366="","*",FN_MC!K366)</f>
        <v>450</v>
      </c>
      <c r="O364" s="288" t="str">
        <f>IF(FN_MC!L366="","*",FN_MC!L366)</f>
        <v>-</v>
      </c>
      <c r="P364" s="111"/>
      <c r="Q364" s="128">
        <f>IF(FN_MC!O366="","*",FN_MC!O366)</f>
        <v>0.41666666666666669</v>
      </c>
      <c r="R364" s="128">
        <f>IF(FN_MC!P366="","*",FN_MC!P366)</f>
        <v>8.3333333333333329E-2</v>
      </c>
      <c r="S364" s="110" t="str">
        <f>IF(FN_MC!Q366="","*",CONCATENATE(FN_MC!Q366," ",FN_MC!R366))</f>
        <v>1000 Nº DE DORMENTES</v>
      </c>
      <c r="T364" s="110" t="str">
        <f>IF(FN_MC!V366="","*",FN_MC!V366)</f>
        <v>Silmara</v>
      </c>
      <c r="U364" s="110" t="str">
        <f>IF(FN_MC!W366="","*",FN_MC!W366)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FERRONORTE</v>
      </c>
      <c r="E365" s="110" t="str">
        <f>IF(FN_MC!T367="","*",FN_MC!T367)</f>
        <v>TCS-TGR</v>
      </c>
      <c r="F365" s="110">
        <f>IF(FN_MC!B367="","*",FN_MC!B367)</f>
        <v>46021</v>
      </c>
      <c r="G365" s="110" t="str">
        <f>IF(FN_MC!D367="","*",FN_MC!D367)</f>
        <v>A60</v>
      </c>
      <c r="H365" s="110" t="str">
        <f>IF(FN_MC!F367="","*",FN_MC!F367)</f>
        <v>DETECÇÃO - RONDA 7 DIAS</v>
      </c>
      <c r="I365" s="110" t="str">
        <f>IF(FN_MC!H367="","*",FN_MC!H367)</f>
        <v>TCS291</v>
      </c>
      <c r="J365" s="110" t="str">
        <f>IF(FN_MC!I367="","*",FN_MC!I367)</f>
        <v>TGR</v>
      </c>
      <c r="K365" s="110" t="str">
        <f>IF(FN_MC!M367="","*",FN_MC!M367)</f>
        <v>TCS-TGR</v>
      </c>
      <c r="L365" s="110" t="str">
        <f>IF(FN_MC!N367="","*",FN_MC!N367)</f>
        <v>TCSTGR</v>
      </c>
      <c r="M365" s="111">
        <f>IF(FN_MC!J367="","*",FN_MC!J367)</f>
        <v>74</v>
      </c>
      <c r="N365" s="288">
        <f>IF(FN_MC!K367="","*",FN_MC!K367)</f>
        <v>291</v>
      </c>
      <c r="O365" s="288">
        <f>IF(FN_MC!L367="","*",FN_MC!L367)</f>
        <v>500</v>
      </c>
      <c r="P365" s="111"/>
      <c r="Q365" s="128">
        <f>IF(FN_MC!O367="","*",FN_MC!O367)</f>
        <v>0.33333333333333331</v>
      </c>
      <c r="R365" s="128">
        <f>IF(FN_MC!P367="","*",FN_MC!P367)</f>
        <v>4.1666666666666664E-2</v>
      </c>
      <c r="S365" s="110" t="str">
        <f>IF(FN_MC!Q367="","*",CONCATENATE(FN_MC!Q367," ",FN_MC!R367))</f>
        <v>200 KM</v>
      </c>
      <c r="T365" s="110" t="str">
        <f>IF(FN_MC!V367="","*",FN_MC!V367)</f>
        <v>Daniel</v>
      </c>
      <c r="U365" s="110" t="str">
        <f>IF(FN_MC!W367="","*",FN_MC!W367)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A74</v>
      </c>
      <c r="H366" s="110" t="str">
        <f>IF(FN_MC!F368="","*",FN_MC!F368)</f>
        <v>DETECÇÃO - RONDA 7 DIAS</v>
      </c>
      <c r="I366" s="110" t="str">
        <f>IF(FN_MC!H368="","*",FN_MC!H368)</f>
        <v>ZTP</v>
      </c>
      <c r="J366" s="110" t="str">
        <f>IF(FN_MC!I368="","*",FN_MC!I368)</f>
        <v>ZPD</v>
      </c>
      <c r="K366" s="110" t="str">
        <f>IF(FN_MC!M368="","*",FN_MC!M368)</f>
        <v>ZTP-ZPD</v>
      </c>
      <c r="L366" s="110" t="str">
        <f>IF(FN_MC!N368="","*",FN_MC!N368)</f>
        <v>ZTPZPD</v>
      </c>
      <c r="M366" s="111">
        <f>IF(FN_MC!J368="","*",FN_MC!J368)</f>
        <v>78</v>
      </c>
      <c r="N366" s="288">
        <f>IF(FN_MC!K368="","*",FN_MC!K368)</f>
        <v>336</v>
      </c>
      <c r="O366" s="288" t="str">
        <f>IF(FN_MC!L368="","*",FN_MC!L368)</f>
        <v>-</v>
      </c>
      <c r="P366" s="111"/>
      <c r="Q366" s="128">
        <f>IF(FN_MC!O368="","*",FN_MC!O368)</f>
        <v>0.375</v>
      </c>
      <c r="R366" s="128">
        <f>IF(FN_MC!P368="","*",FN_MC!P368)</f>
        <v>4.1666666666666664E-2</v>
      </c>
      <c r="S366" s="110" t="str">
        <f>IF(FN_MC!Q368="","*",CONCATENATE(FN_MC!Q368," ",FN_MC!R368))</f>
        <v>32 KM</v>
      </c>
      <c r="T366" s="110" t="str">
        <f>IF(FN_MC!V368="","*",FN_MC!V368)</f>
        <v>Claudemir</v>
      </c>
      <c r="U366" s="110" t="str">
        <f>IF(FN_MC!W368="","*",FN_MC!W368)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IF(FN_MC!Y371="","*",FN_MC!Y371)</f>
        <v>OPORTUNIDADE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46021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ZTP-TCS</v>
      </c>
      <c r="L369" s="110" t="str">
        <f>IF(FN_MC!N371="","*",FN_MC!N371)</f>
        <v>ZTPTCS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>
        <f>IF(FN_MC!O371="","*",FN_MC!O371)</f>
        <v>0.625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PCM</v>
      </c>
      <c r="U369" s="110" t="str">
        <f>IF(FN_MC!W371="","*",FN_MC!W371)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A01</v>
      </c>
      <c r="H370" s="110" t="str">
        <f>IF(FN_MC!F372="","*",FN_MC!F372)</f>
        <v>INSPEÇÃO AUTO DE LINHA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>
        <f>IF(FN_MC!J372="","*",FN_MC!J372)</f>
        <v>101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*</v>
      </c>
      <c r="E373" s="110" t="str">
        <f>IF(FN_MC!T375="","*",FN_MC!T375)</f>
        <v>*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*</v>
      </c>
      <c r="E374" s="110" t="str">
        <f>IF(FN_MC!T376="","*",FN_MC!T376)</f>
        <v>*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*</v>
      </c>
      <c r="E375" s="110" t="str">
        <f>IF(FN_MC!T377="","*",FN_MC!T377)</f>
        <v>*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*</v>
      </c>
      <c r="L375" s="110" t="str">
        <f>IF(FN_MC!N377="","*",FN_MC!N377)</f>
        <v>*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*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*</v>
      </c>
      <c r="E376" s="110" t="str">
        <f>IF(FN_MC!T378="","*",FN_MC!T378)</f>
        <v>*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*</v>
      </c>
      <c r="L376" s="110" t="str">
        <f>IF(FN_MC!N378="","*",FN_MC!N378)</f>
        <v>*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*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1948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1949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1950</v>
      </c>
      <c r="C4" s="318" t="s">
        <v>1951</v>
      </c>
      <c r="D4" s="318" t="s">
        <v>1952</v>
      </c>
      <c r="E4" s="318" t="s">
        <v>1953</v>
      </c>
      <c r="F4" s="318" t="s">
        <v>6</v>
      </c>
      <c r="G4" s="318" t="s">
        <v>1954</v>
      </c>
      <c r="H4" s="191"/>
    </row>
    <row r="5" spans="1:8">
      <c r="A5" s="191"/>
      <c r="B5" s="319" t="s">
        <v>1955</v>
      </c>
      <c r="C5" s="319">
        <v>309525</v>
      </c>
      <c r="D5" s="319" t="s">
        <v>1956</v>
      </c>
      <c r="E5" s="319" t="s">
        <v>845</v>
      </c>
      <c r="F5" s="319" t="s">
        <v>1957</v>
      </c>
      <c r="G5" s="320">
        <v>46296</v>
      </c>
      <c r="H5" s="191"/>
    </row>
    <row r="6" spans="1:8">
      <c r="A6" s="191"/>
      <c r="B6" s="319" t="s">
        <v>1930</v>
      </c>
      <c r="C6" s="319">
        <v>256875</v>
      </c>
      <c r="D6" s="319" t="s">
        <v>1958</v>
      </c>
      <c r="E6" s="319" t="s">
        <v>845</v>
      </c>
      <c r="F6" s="319" t="s">
        <v>1957</v>
      </c>
      <c r="G6" s="320">
        <v>46296</v>
      </c>
      <c r="H6" s="191"/>
    </row>
    <row r="7" spans="1:8">
      <c r="A7" s="191"/>
      <c r="B7" s="319" t="s">
        <v>1959</v>
      </c>
      <c r="C7" s="319">
        <v>257278</v>
      </c>
      <c r="D7" s="319" t="s">
        <v>1960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1961</v>
      </c>
      <c r="C8" s="319">
        <v>261794</v>
      </c>
      <c r="D8" s="319" t="s">
        <v>1962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1963</v>
      </c>
      <c r="C9" s="319">
        <v>257033</v>
      </c>
      <c r="D9" s="319" t="s">
        <v>1964</v>
      </c>
      <c r="E9" s="319" t="s">
        <v>836</v>
      </c>
      <c r="F9" s="319" t="s">
        <v>192</v>
      </c>
      <c r="G9" s="319" t="s">
        <v>1965</v>
      </c>
      <c r="H9" s="191"/>
    </row>
    <row r="10" spans="1:8">
      <c r="A10" s="191"/>
      <c r="B10" s="319" t="s">
        <v>1966</v>
      </c>
      <c r="C10" s="319">
        <v>396578</v>
      </c>
      <c r="D10" s="319" t="s">
        <v>1967</v>
      </c>
      <c r="E10" s="319" t="s">
        <v>836</v>
      </c>
      <c r="F10" s="319" t="s">
        <v>192</v>
      </c>
      <c r="G10" s="319" t="s">
        <v>1965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1968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1969</v>
      </c>
      <c r="E3" s="315" t="s">
        <v>1970</v>
      </c>
      <c r="F3" s="315" t="s">
        <v>1971</v>
      </c>
      <c r="G3" s="315" t="s">
        <v>1972</v>
      </c>
      <c r="H3" s="315" t="s">
        <v>1973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1974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1975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1976</v>
      </c>
      <c r="C2" s="95" t="s">
        <v>1158</v>
      </c>
      <c r="D2" s="95" t="s">
        <v>596</v>
      </c>
      <c r="E2" s="95" t="s">
        <v>1977</v>
      </c>
      <c r="F2" s="95" t="s">
        <v>1978</v>
      </c>
      <c r="G2" s="95" t="s">
        <v>1979</v>
      </c>
      <c r="H2" s="95" t="s">
        <v>1980</v>
      </c>
      <c r="I2" s="95" t="s">
        <v>1981</v>
      </c>
      <c r="J2" s="95" t="s">
        <v>1982</v>
      </c>
      <c r="K2" s="131" t="s">
        <v>1983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*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*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SIM</v>
      </c>
      <c r="C363" s="121">
        <f>IF(FN_MC!B365="","*",FN_MC!B365)</f>
        <v>46021</v>
      </c>
      <c r="D363" s="121" t="str">
        <f>IF(FN_MC!D365="","*",FN_MC!D365)</f>
        <v>V86</v>
      </c>
      <c r="E363" s="121" t="str">
        <f>IF(FN_MC!H365="","*",FN_MC!H365)</f>
        <v>TGR2</v>
      </c>
      <c r="F363" s="137" t="str">
        <f>IF(FN_MC!M365="","*",FN_MC!M365)</f>
        <v>TBR-TGR</v>
      </c>
      <c r="G363" s="121" t="str">
        <f>IF(FN_MC!I365="","*",FN_MC!I365)</f>
        <v>TGR2</v>
      </c>
      <c r="H363" s="121" t="str">
        <f>IF(FN_MC!AB365="","*",FN_MC!AB365)</f>
        <v>FIXO</v>
      </c>
      <c r="I363" s="121" t="str">
        <f>IF(FN_MC!AC365="","*",FN_MC!AC365)</f>
        <v>-</v>
      </c>
      <c r="J363" s="122">
        <f>IF(FN_MC!AA365="","*",FN_MC!AA365)</f>
        <v>1</v>
      </c>
      <c r="K363" s="134">
        <f>IF(FN_MC!AD365="","*",FN_MC!AD365)</f>
        <v>0.25</v>
      </c>
    </row>
    <row r="364" spans="2:11" s="123" customFormat="1" hidden="1">
      <c r="B364" s="120" t="str">
        <f>IF(FN_MC!Y366="","*",FN_MC!Y366)</f>
        <v>OPORTUNIDADE</v>
      </c>
      <c r="C364" s="121">
        <f>IF(FN_MC!B366="","*",FN_MC!B366)</f>
        <v>46021</v>
      </c>
      <c r="D364" s="121" t="str">
        <f>IF(FN_MC!D366="","*",FN_MC!D366)</f>
        <v>W50</v>
      </c>
      <c r="E364" s="121" t="str">
        <f>IF(FN_MC!H366="","*",FN_MC!H366)</f>
        <v>TOM2</v>
      </c>
      <c r="F364" s="137" t="str">
        <f>IF(FN_MC!M366="","*",FN_MC!M366)</f>
        <v>TPC-TVL</v>
      </c>
      <c r="G364" s="121" t="str">
        <f>IF(FN_MC!I366="","*",FN_MC!I366)</f>
        <v>TOM2</v>
      </c>
      <c r="H364" s="121" t="str">
        <f>IF(FN_MC!AB366="","*",FN_MC!AB366)</f>
        <v>FIXO</v>
      </c>
      <c r="I364" s="121" t="str">
        <f>IF(FN_MC!AC366="","*",FN_MC!AC366)</f>
        <v>-</v>
      </c>
      <c r="J364" s="122" t="str">
        <f>IF(FN_MC!AA366="","*",FN_MC!AA366)</f>
        <v>2( Eder e Anderson)</v>
      </c>
      <c r="K364" s="134">
        <f>IF(FN_MC!AD366="","*",FN_MC!AD366)</f>
        <v>0.29166666666666669</v>
      </c>
    </row>
    <row r="365" spans="2:11" s="123" customFormat="1" hidden="1">
      <c r="B365" s="120" t="str">
        <f>IF(FN_MC!Y367="","*",FN_MC!Y367)</f>
        <v>OPORTUNIDADE</v>
      </c>
      <c r="C365" s="121">
        <f>IF(FN_MC!B367="","*",FN_MC!B367)</f>
        <v>46021</v>
      </c>
      <c r="D365" s="121" t="str">
        <f>IF(FN_MC!D367="","*",FN_MC!D367)</f>
        <v>A60</v>
      </c>
      <c r="E365" s="121" t="str">
        <f>IF(FN_MC!H367="","*",FN_MC!H367)</f>
        <v>TCS291</v>
      </c>
      <c r="F365" s="137" t="str">
        <f>IF(FN_MC!M367="","*",FN_MC!M367)</f>
        <v>TCS-TGR</v>
      </c>
      <c r="G365" s="121" t="str">
        <f>IF(FN_MC!I367="","*",FN_MC!I367)</f>
        <v>TGR</v>
      </c>
      <c r="H365" s="121" t="str">
        <f>IF(FN_MC!AB367="","*",FN_MC!AB367)</f>
        <v>FIXO</v>
      </c>
      <c r="I365" s="121" t="str">
        <f>IF(FN_MC!AC367="","*",FN_MC!AC367)</f>
        <v>-</v>
      </c>
      <c r="J365" s="122">
        <f>IF(FN_MC!AA367="","*",FN_MC!AA367)</f>
        <v>1</v>
      </c>
      <c r="K365" s="134">
        <f>IF(FN_MC!AD367="","*",FN_MC!AD367)</f>
        <v>0.29166666666666669</v>
      </c>
    </row>
    <row r="366" spans="2:11" s="123" customFormat="1" hidden="1">
      <c r="B366" s="120" t="str">
        <f>IF(FN_MC!Y368="","*",FN_MC!Y368)</f>
        <v>OPORTUNIDADE</v>
      </c>
      <c r="C366" s="121">
        <f>IF(FN_MC!B368="","*",FN_MC!B368)</f>
        <v>46021</v>
      </c>
      <c r="D366" s="121" t="str">
        <f>IF(FN_MC!D368="","*",FN_MC!D368)</f>
        <v>A74</v>
      </c>
      <c r="E366" s="121" t="str">
        <f>IF(FN_MC!H368="","*",FN_MC!H368)</f>
        <v>ZTP</v>
      </c>
      <c r="F366" s="137" t="str">
        <f>IF(FN_MC!M368="","*",FN_MC!M368)</f>
        <v>ZTP-ZPD</v>
      </c>
      <c r="G366" s="121" t="str">
        <f>IF(FN_MC!I368="","*",FN_MC!I368)</f>
        <v>ZPD</v>
      </c>
      <c r="H366" s="121" t="str">
        <f>IF(FN_MC!AB368="","*",FN_MC!AB368)</f>
        <v>FIXO</v>
      </c>
      <c r="I366" s="121" t="str">
        <f>IF(FN_MC!AC368="","*",FN_MC!AC368)</f>
        <v>-</v>
      </c>
      <c r="J366" s="122">
        <f>IF(FN_MC!AA368="","*",FN_MC!AA368)</f>
        <v>1</v>
      </c>
      <c r="K366" s="134">
        <f>IF(FN_MC!AD368="","*",FN_MC!AD368)</f>
        <v>0.29166666666666669</v>
      </c>
    </row>
    <row r="367" spans="2:11" s="123" customFormat="1" hidden="1">
      <c r="B367" s="120" t="str">
        <f>IF(FN_MC!Y369="","*",FN_MC!Y369)</f>
        <v>OPORTUNIDADE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FIXO</v>
      </c>
      <c r="I367" s="121" t="str">
        <f>IF(FN_MC!AC369="","*",FN_MC!AC369)</f>
        <v>-</v>
      </c>
      <c r="J367" s="122">
        <f>IF(FN_MC!AA369="","*",FN_MC!AA369)</f>
        <v>1</v>
      </c>
      <c r="K367" s="134">
        <f>IF(FN_MC!AD369="","*",FN_MC!AD369)</f>
        <v>0.29166666666666669</v>
      </c>
    </row>
    <row r="368" spans="2:11" s="123" customFormat="1" hidden="1">
      <c r="B368" s="120" t="str">
        <f>IF(FN_MC!Y370="","*",FN_MC!Y370)</f>
        <v>OPORTUNIDADE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FIXO</v>
      </c>
      <c r="I368" s="121" t="str">
        <f>IF(FN_MC!AC370="","*",FN_MC!AC370)</f>
        <v>-</v>
      </c>
      <c r="J368" s="122">
        <f>IF(FN_MC!AA370="","*",FN_MC!AA370)</f>
        <v>1</v>
      </c>
      <c r="K368" s="134">
        <f>IF(FN_MC!AD370="","*",FN_MC!AD370)</f>
        <v>0.29166666666666669</v>
      </c>
    </row>
    <row r="369" spans="2:11" s="123" customFormat="1" hidden="1">
      <c r="B369" s="120" t="str">
        <f>IF(FN_MC!Y371="","*",FN_MC!Y371)</f>
        <v>OPORTUNIDADE</v>
      </c>
      <c r="C369" s="121">
        <f>IF(FN_MC!B371="","*",FN_MC!B371)</f>
        <v>46021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ZTP-TCS</v>
      </c>
      <c r="G369" s="121" t="str">
        <f>IF(FN_MC!I371="","*",FN_MC!I371)</f>
        <v>TCS</v>
      </c>
      <c r="H369" s="121" t="str">
        <f>IF(FN_MC!AB371="","*",FN_MC!AB371)</f>
        <v>FIXO</v>
      </c>
      <c r="I369" s="121" t="str">
        <f>IF(FN_MC!AC371="","*",FN_MC!AC371)</f>
        <v>-</v>
      </c>
      <c r="J369" s="122" t="str">
        <f>IF(FN_MC!AA371="","*",FN_MC!AA371)</f>
        <v>2 (Edson e Nivaldo)</v>
      </c>
      <c r="K369" s="134">
        <f>IF(FN_MC!AD371="","*",FN_MC!AD371)</f>
        <v>0.54166666666666663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A01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*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*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*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*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*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*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*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*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2025-12-29T21:39:33Z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