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31" documentId="8_{B6337239-1A00-434D-AAD0-422EA1FEB5AE}" xr6:coauthVersionLast="47" xr6:coauthVersionMax="47" xr10:uidLastSave="{D7112E70-5CE3-45B1-849C-C512D6E716F9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L228" i="16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K231" i="16"/>
  <c r="L231" i="16"/>
  <c r="D231" i="16"/>
  <c r="E231" i="16"/>
  <c r="AI228" i="1"/>
  <c r="BB228" i="1" s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6" i="1" l="1"/>
  <c r="AJ238" i="1"/>
  <c r="AJ235" i="1"/>
  <c r="AJ233" i="1"/>
  <c r="AJ230" i="1"/>
  <c r="AJ228" i="1"/>
  <c r="AJ226" i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AM42" i="1"/>
  <c r="AM52" i="1"/>
  <c r="L67" i="11" s="1"/>
  <c r="AN60" i="1"/>
  <c r="AM55" i="1"/>
  <c r="AM54" i="1"/>
  <c r="L69" i="11" s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9" i="11" l="1"/>
  <c r="N78" i="11"/>
  <c r="N110" i="1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<sst xmlns="http://schemas.openxmlformats.org/spreadsheetml/2006/main" count="6750" uniqueCount="1758">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</sst>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3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06" totalsRowDxfId="105" headerRowBorderDxfId="103" tableBorderDxfId="104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S210" activePane="topRight" state="frozen"/>
      <selection pane="topRight" activeCell="X216" sqref="X2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789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1678</v>
      </c>
      <c r="BK203" s="14" t="s">
        <v>1678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1679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1680</v>
      </c>
      <c r="BK204" s="14" t="s">
        <v>1681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1682</v>
      </c>
      <c r="BK205" s="14" t="s">
        <v>1682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1683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1684</v>
      </c>
      <c r="BK206" s="14" t="s">
        <v>1684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1685</v>
      </c>
      <c r="BK207" s="14" t="s">
        <v>1686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1687</v>
      </c>
      <c r="BK208" s="14" t="s">
        <v>1688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1689</v>
      </c>
      <c r="W209" s="220" t="s">
        <v>1690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1691</v>
      </c>
      <c r="BK209" s="14" t="s">
        <v>1691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1692</v>
      </c>
      <c r="N210" s="148" t="s">
        <v>1693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1694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1695</v>
      </c>
      <c r="BK210" s="14" t="s">
        <v>1696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1697</v>
      </c>
      <c r="BK211" s="14" t="s">
        <v>1698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1699</v>
      </c>
      <c r="BK212" s="14" t="s">
        <v>1700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1679</v>
      </c>
      <c r="E225" s="175">
        <v>252</v>
      </c>
      <c r="F225" s="133" t="s">
        <v>822</v>
      </c>
      <c r="G225" s="8" t="str">
        <f>IF(D225="","*",VLOOKUP(F225,BS_ATIVIDADE[#All],3,FALSE))</f>
        <v>SOLDA</v>
      </c>
      <c r="H225" s="134" t="s">
        <v>209</v>
      </c>
      <c r="I225" s="134" t="s">
        <v>640</v>
      </c>
      <c r="J225" s="150">
        <v>74</v>
      </c>
      <c r="K225" s="150">
        <v>498.9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275" t="s">
        <v>209</v>
      </c>
      <c r="O225" s="134">
        <v>0.41666666666666669</v>
      </c>
      <c r="P225" s="134">
        <v>8.3333333333333329E-2</v>
      </c>
      <c r="Q225" s="71">
        <v>2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 t="s">
        <v>1290</v>
      </c>
      <c r="W225" s="134" t="s">
        <v>1701</v>
      </c>
      <c r="X225" s="151" t="s">
        <v>1000</v>
      </c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499TGR2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499TGR2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Elson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Produção e Intervalo</v>
      </c>
      <c r="BR225" s="15">
        <f t="shared" si="21"/>
        <v>0</v>
      </c>
      <c r="BS225" s="15">
        <f t="shared" si="22"/>
        <v>0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878</v>
      </c>
      <c r="E226" s="175">
        <v>253</v>
      </c>
      <c r="F226" s="133" t="s">
        <v>815</v>
      </c>
      <c r="G226" s="8" t="str">
        <f>IF(D226="","*",VLOOKUP(F226,BS_ATIVIDADE[#All],3,FALSE))</f>
        <v>PEDRA</v>
      </c>
      <c r="H226" s="134" t="s">
        <v>1293</v>
      </c>
      <c r="I226" s="134" t="s">
        <v>1293</v>
      </c>
      <c r="J226" s="150">
        <v>74</v>
      </c>
      <c r="K226" s="150">
        <v>461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1566</v>
      </c>
      <c r="W226" s="134" t="s">
        <v>1612</v>
      </c>
      <c r="X226" s="151" t="s">
        <v>1000</v>
      </c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>V4846073</v>
      </c>
      <c r="B228" s="132">
        <v>46073</v>
      </c>
      <c r="C228" s="7">
        <f>IF(BS_CONTROLE[[#This Row],[DATA]]="","",WEEKNUM(BS_CONTROLE[[#This Row],[DATA]]))</f>
        <v>8</v>
      </c>
      <c r="D228" s="45" t="s">
        <v>812</v>
      </c>
      <c r="E228" s="175">
        <v>255</v>
      </c>
      <c r="F228" s="133" t="s">
        <v>771</v>
      </c>
      <c r="G228" s="8" t="str">
        <f>IF(D228="","*",VLOOKUP(F228,BS_ATIVIDADE[#All],3,FALSE))</f>
        <v>MODERNIZAÇÃO</v>
      </c>
      <c r="H228" s="134" t="s">
        <v>95</v>
      </c>
      <c r="I228" s="134" t="s">
        <v>95</v>
      </c>
      <c r="J228" s="150">
        <v>74</v>
      </c>
      <c r="K228" s="150">
        <v>237.4</v>
      </c>
      <c r="L228" s="71">
        <v>239</v>
      </c>
      <c r="M228" s="148" t="s">
        <v>98</v>
      </c>
      <c r="N228" s="148" t="s">
        <v>101</v>
      </c>
      <c r="O228" s="134">
        <v>0.375</v>
      </c>
      <c r="P228" s="134">
        <v>8.3333333333333329E-2</v>
      </c>
      <c r="Q228" s="71">
        <v>1000</v>
      </c>
      <c r="R228" s="9" t="s">
        <v>666</v>
      </c>
      <c r="S228" s="170" t="s">
        <v>8</v>
      </c>
      <c r="T228" s="170" t="s">
        <v>12</v>
      </c>
      <c r="U228" s="188" t="s">
        <v>11</v>
      </c>
      <c r="V228" s="142" t="s">
        <v>1592</v>
      </c>
      <c r="W228" s="134" t="s">
        <v>1275</v>
      </c>
      <c r="X228" s="151" t="s">
        <v>1005</v>
      </c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MODERNIZAÇÃO - SOCADORA</v>
      </c>
      <c r="AJ228" s="8" t="str">
        <f>IF(D228="","*",VLOOKUP(AI228,BS_ATIVIDADE[#Data],3,FALSE))</f>
        <v>MODERNIZAÇÃO</v>
      </c>
      <c r="AK228" s="166" t="str">
        <f>IF(BS_CONTROLE[[#This Row],[Local - Partida]]=0, "-", BS_CONTROLE[[#This Row],[Local - Partida]])</f>
        <v>TVI</v>
      </c>
      <c r="AL228" s="166" t="str">
        <f>IF(BS_CONTROLE[[#This Row],[Local - Encerramento]]=0, "-", BS_CONTROLE[[#This Row],[Local - Encerramento]])</f>
        <v>TVI</v>
      </c>
      <c r="AM228" s="166" t="str">
        <f>IF(BS_CONTROLE[[#This Row],[Entre - Estações]]=0, "-", BS_CONTROLE[[#This Row],[Entre - Estações]])</f>
        <v>TVI-TJA</v>
      </c>
      <c r="AN228" s="166" t="str">
        <f>IF(BS_CONTROLE[[#This Row],[SB]]=0, "-", BS_CONTROLE[[#This Row],[SB]])</f>
        <v>TVI239</v>
      </c>
      <c r="AO228" s="167">
        <f>IF(BS_CONTROLE[[#This Row],[SUB]]=0, "-", BS_CONTROLE[[#This Row],[SUB]])</f>
        <v>74</v>
      </c>
      <c r="AP228" s="168">
        <f>IF(BS_CONTROLE[[#This Row],[KM - Inicio]]=0, "-", BS_CONTROLE[[#This Row],[KM - Inicio]])</f>
        <v>237.4</v>
      </c>
      <c r="AQ228" s="168">
        <f>IF(BS_CONTROLE[[#This Row],[KM - Fim]]=0, "-", BS_CONTROLE[[#This Row],[KM - Fim]])</f>
        <v>239</v>
      </c>
      <c r="AR228" s="32"/>
      <c r="AS228" s="32"/>
      <c r="AT228" s="32"/>
      <c r="AU228" s="32"/>
      <c r="AV228" s="32"/>
      <c r="AW228" s="32"/>
      <c r="AX228" s="32"/>
      <c r="AY228" s="174">
        <f>IF(D228="","*",IFERROR(IF(ISODD(COUNT(AS228:AX228)),"ERRO",SUM((AT228-AS228),(AV228-AU228),(AX228-AW228))),"ERRO"))</f>
        <v>0</v>
      </c>
      <c r="AZ228" s="11"/>
      <c r="BA228" s="60"/>
      <c r="BB228" s="9" t="str">
        <f>IFERROR(_xlfn.XLOOKUP(AI228, BS_ATIVIDADE[ATIVIDADE],BS_ATIVIDADE[UNIDADE] ), "*")</f>
        <v>M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89" t="str">
        <f>IFERROR(_xlfn.XLOOKUP(AO228, BASE_MAPA!$B$2:$B$420, BASE_MAPA!$G$2:$G$420), "ERRO")</f>
        <v>MARCO INICIAL - ALTO ARAGUAIA</v>
      </c>
      <c r="BF228" s="169" t="str">
        <f>IF(BS_CONTROLE[[#This Row],[Responsavel pelo boletim]]=0, "-", BS_CONTROLE[[#This Row],[Responsavel pelo boletim]])</f>
        <v>Ezequiel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Produção e Intervalo</v>
      </c>
      <c r="BR228" s="15">
        <f t="shared" si="21"/>
        <v>0</v>
      </c>
      <c r="BS228" s="15">
        <f t="shared" si="22"/>
        <v>0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>W4846073</v>
      </c>
      <c r="B230" s="132">
        <v>46073</v>
      </c>
      <c r="C230" s="7">
        <f>IF(BS_CONTROLE[[#This Row],[DATA]]="","",WEEKNUM(BS_CONTROLE[[#This Row],[DATA]]))</f>
        <v>8</v>
      </c>
      <c r="D230" s="45" t="s">
        <v>868</v>
      </c>
      <c r="E230" s="175">
        <v>257</v>
      </c>
      <c r="F230" s="133" t="s">
        <v>729</v>
      </c>
      <c r="G230" s="8" t="str">
        <f>IF(D230="","*",VLOOKUP(F230,BS_ATIVIDADE[#All],3,FALSE))</f>
        <v>MECANIZAÇÃO - DOL</v>
      </c>
      <c r="H230" s="134" t="s">
        <v>55</v>
      </c>
      <c r="I230" s="134" t="s">
        <v>55</v>
      </c>
      <c r="J230" s="150">
        <v>74</v>
      </c>
      <c r="K230" s="150">
        <v>104.3</v>
      </c>
      <c r="L230" s="71">
        <v>100.7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0" s="134">
        <v>0.375</v>
      </c>
      <c r="P230" s="134">
        <v>0.16666666666666666</v>
      </c>
      <c r="Q230" s="71">
        <v>3000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188" t="str">
        <f>IFERROR(_xlfn.XLOOKUP(J230, BASE_MAPA!$B$2:$B$420, BASE_MAPA!$G$2:$G$420), "ERRO")</f>
        <v>MARCO INICIAL - ALTO ARAGUAIA</v>
      </c>
      <c r="V230" s="142" t="s">
        <v>1514</v>
      </c>
      <c r="W230" s="134" t="s">
        <v>1515</v>
      </c>
      <c r="X230" s="151" t="s">
        <v>1000</v>
      </c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DOL</v>
      </c>
      <c r="AJ230" s="8" t="str">
        <f>IF(D230="","*",VLOOKUP(AI230,BS_ATIVIDADE[#Data],3,FALSE))</f>
        <v>MECANIZAÇÃO - DOL</v>
      </c>
      <c r="AK230" s="166" t="str">
        <f>IF(BS_CONTROLE[[#This Row],[Local - Partida]]=0, "-", BS_CONTROLE[[#This Row],[Local - Partida]])</f>
        <v>TIN</v>
      </c>
      <c r="AL230" s="166" t="str">
        <f>IF(BS_CONTROLE[[#This Row],[Local - Encerramento]]=0, "-", BS_CONTROLE[[#This Row],[Local - Encerramento]])</f>
        <v>TIN</v>
      </c>
      <c r="AM230" s="166" t="str">
        <f>IF(BS_CONTROLE[[#This Row],[Entre - Estações]]=0, "-", BS_CONTROLE[[#This Row],[Entre - Estações]])</f>
        <v>TSP-TIN</v>
      </c>
      <c r="AN230" s="166" t="str">
        <f>IF(BS_CONTROLE[[#This Row],[SB]]=0, "-", BS_CONTROLE[[#This Row],[SB]])</f>
        <v>K97TIN</v>
      </c>
      <c r="AO230" s="167">
        <f>IF(BS_CONTROLE[[#This Row],[SUB]]=0, "-", BS_CONTROLE[[#This Row],[SUB]])</f>
        <v>74</v>
      </c>
      <c r="AP230" s="168">
        <f>IF(BS_CONTROLE[[#This Row],[KM - Inicio]]=0, "-", BS_CONTROLE[[#This Row],[KM - Inicio]])</f>
        <v>104.3</v>
      </c>
      <c r="AQ230" s="168">
        <f>IF(BS_CONTROLE[[#This Row],[KM - Fim]]=0, "-", BS_CONTROLE[[#This Row],[KM - Fim]])</f>
        <v>100.7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89" t="str">
        <f>IFERROR(_xlfn.XLOOKUP(AO230, BASE_MAPA!$B$2:$B$420, BASE_MAPA!$G$2:$G$420), "ERRO")</f>
        <v>MARCO INICIAL - ALTO ARAGUAIA</v>
      </c>
      <c r="BF230" s="169" t="str">
        <f>IF(BS_CONTROLE[[#This Row],[Responsavel pelo boletim]]=0, "-", BS_CONTROLE[[#This Row],[Responsavel pelo boletim]])</f>
        <v>Rodrigo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Produção e Intervalo</v>
      </c>
      <c r="BR230" s="15">
        <f t="shared" si="21"/>
        <v>0</v>
      </c>
      <c r="BS230" s="15">
        <f t="shared" si="22"/>
        <v>0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MARCOS (TF-520)46073</v>
      </c>
      <c r="B233" s="132">
        <v>46073</v>
      </c>
      <c r="C233" s="7">
        <f>IF(BS_CONTROLE[[#This Row],[DATA]]="","",WEEKNUM(BS_CONTROLE[[#This Row],[DATA]]))</f>
        <v>8</v>
      </c>
      <c r="D233" s="45" t="s">
        <v>963</v>
      </c>
      <c r="E233" s="175">
        <v>260</v>
      </c>
      <c r="F233" s="133" t="s">
        <v>822</v>
      </c>
      <c r="G233" s="8" t="str">
        <f>IF(D233="","*",VLOOKUP(F233,BS_ATIVIDADE[#All],3,FALSE))</f>
        <v>SOLDA</v>
      </c>
      <c r="H233" s="134" t="s">
        <v>54</v>
      </c>
      <c r="I233" s="134" t="s">
        <v>640</v>
      </c>
      <c r="J233" s="150">
        <v>74</v>
      </c>
      <c r="K233" s="150">
        <v>97.64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3" s="134">
        <v>0.375</v>
      </c>
      <c r="P233" s="134">
        <v>0.125</v>
      </c>
      <c r="Q233" s="71">
        <v>2</v>
      </c>
      <c r="R233" s="9" t="str">
        <f>IFERROR(_xlfn.XLOOKUP(F233, BS_ATIVIDADE[ATIVIDADE],BS_ATIVIDADE[UNIDADE] ), "*")</f>
        <v>Nº DE SOLDA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188" t="str">
        <f>IFERROR(_xlfn.XLOOKUP(J233, BASE_MAPA!$B$2:$B$420, BASE_MAPA!$G$2:$G$420), "ERRO")</f>
        <v>MARCO INICIAL - ALTO ARAGUAIA</v>
      </c>
      <c r="V233" s="142" t="s">
        <v>1328</v>
      </c>
      <c r="W233" s="134" t="s">
        <v>1318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SOLDA</v>
      </c>
      <c r="AJ233" s="8" t="str">
        <f>IF(D233="","*",VLOOKUP(AI233,BS_ATIVIDADE[#Data],3,FALSE))</f>
        <v>SOLDA</v>
      </c>
      <c r="AK233" s="166" t="str">
        <f>IF(BS_CONTROLE[[#This Row],[Local - Partida]]=0, "-", BS_CONTROLE[[#This Row],[Local - Partida]])</f>
        <v>K97TIN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TSP-TIN</v>
      </c>
      <c r="AN233" s="166" t="str">
        <f>IF(BS_CONTROLE[[#This Row],[SB]]=0, "-", BS_CONTROLE[[#This Row],[SB]])</f>
        <v>K97TIN</v>
      </c>
      <c r="AO233" s="167">
        <f>IF(BS_CONTROLE[[#This Row],[SUB]]=0, "-", BS_CONTROLE[[#This Row],[SUB]])</f>
        <v>74</v>
      </c>
      <c r="AP233" s="168">
        <f>IF(BS_CONTROLE[[#This Row],[KM - Inicio]]=0, "-", BS_CONTROLE[[#This Row],[KM - Inicio]])</f>
        <v>97.64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Nº DE SOLDA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89" t="str">
        <f>IFERROR(_xlfn.XLOOKUP(AO233, BASE_MAPA!$B$2:$B$420, BASE_MAPA!$G$2:$G$420), "ERRO")</f>
        <v>MARCO INICIAL - ALTO ARAGUAIA</v>
      </c>
      <c r="BF233" s="169" t="str">
        <f>IF(BS_CONTROLE[[#This Row],[Responsavel pelo boletim]]=0, "-", BS_CONTROLE[[#This Row],[Responsavel pelo boletim]])</f>
        <v>Marcos Euzebio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220" t="s">
        <v>1451</v>
      </c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W5046073</v>
      </c>
      <c r="B235" s="132">
        <v>46073</v>
      </c>
      <c r="C235" s="7">
        <f>IF(BS_CONTROLE[[#This Row],[DATA]]="","",WEEKNUM(BS_CONTROLE[[#This Row],[DATA]]))</f>
        <v>8</v>
      </c>
      <c r="D235" s="45" t="s">
        <v>869</v>
      </c>
      <c r="E235" s="175">
        <v>262</v>
      </c>
      <c r="F235" s="133" t="s">
        <v>762</v>
      </c>
      <c r="G235" s="8" t="str">
        <f>IF(D235="","*",VLOOKUP(F235,BS_ATIVIDADE[#All],3,FALSE))</f>
        <v>MODERNIZAÇÃO</v>
      </c>
      <c r="H235" s="134" t="s">
        <v>23</v>
      </c>
      <c r="I235" s="134" t="s">
        <v>55</v>
      </c>
      <c r="J235" s="150">
        <v>74</v>
      </c>
      <c r="K235" s="150">
        <v>37.5</v>
      </c>
      <c r="L235" s="71">
        <v>38.5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5" s="134">
        <v>0.4375</v>
      </c>
      <c r="P235" s="134">
        <v>6.25E-2</v>
      </c>
      <c r="Q235" s="71">
        <v>100</v>
      </c>
      <c r="R235" s="9" t="str">
        <f>IFERROR(_xlfn.XLOOKUP(F235, BS_ATIVIDADE[ATIVIDADE],BS_ATIVIDADE[UNIDADE] ), "*")</f>
        <v>Nº DE DORMENTES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1361</v>
      </c>
      <c r="W235" s="134" t="s">
        <v>1702</v>
      </c>
      <c r="X235" s="151" t="s">
        <v>1000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MODERNIZAÇÃO - DORMENTE - DESCARGA</v>
      </c>
      <c r="AJ235" s="8" t="str">
        <f>IF(D235="","*",VLOOKUP(AI235,BS_ATIVIDADE[#Data],3,FALSE))</f>
        <v>MODERNIZAÇÃO</v>
      </c>
      <c r="AK235" s="166" t="str">
        <f>IF(BS_CONTROLE[[#This Row],[Local - Partida]]=0, "-", BS_CONTROLE[[#This Row],[Local - Partida]])</f>
        <v>TAP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TAP-TLG</v>
      </c>
      <c r="AN235" s="166" t="str">
        <f>IF(BS_CONTROLE[[#This Row],[SB]]=0, "-", BS_CONTROLE[[#This Row],[SB]])</f>
        <v>K35TLG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37.5</v>
      </c>
      <c r="AQ235" s="168">
        <f>IF(BS_CONTROLE[[#This Row],[KM - Fim]]=0, "-", BS_CONTROLE[[#This Row],[KM - Fim]])</f>
        <v>38.5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DORMENTES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Augusto/ Efraim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>V8046073</v>
      </c>
      <c r="B236" s="132">
        <v>46073</v>
      </c>
      <c r="C236" s="7">
        <f>IF(BS_CONTROLE[[#This Row],[DATA]]="","",WEEKNUM(BS_CONTROLE[[#This Row],[DATA]]))</f>
        <v>8</v>
      </c>
      <c r="D236" s="45" t="s">
        <v>838</v>
      </c>
      <c r="E236" s="175">
        <v>263</v>
      </c>
      <c r="F236" s="133" t="s">
        <v>842</v>
      </c>
      <c r="G236" s="8" t="str">
        <f>IF(D236="","*",VLOOKUP(F236,BS_ATIVIDADE[#All],3,FALSE))</f>
        <v>OUTROS</v>
      </c>
      <c r="H236" s="134" t="s">
        <v>590</v>
      </c>
      <c r="I236" s="134" t="s">
        <v>611</v>
      </c>
      <c r="J236" s="150">
        <v>103</v>
      </c>
      <c r="K236" s="150">
        <v>1980</v>
      </c>
      <c r="L236" s="71">
        <v>2114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6" s="134">
        <v>0.41666666666666669</v>
      </c>
      <c r="P236" s="134">
        <v>4.1666666666666664E-2</v>
      </c>
      <c r="Q236" s="71">
        <v>1</v>
      </c>
      <c r="R236" s="9" t="str">
        <f>IFERROR(_xlfn.XLOOKUP(F236, BS_ATIVIDADE[ATIVIDADE],BS_ATIVIDADE[UNIDADE] ), "*")</f>
        <v>BINÁRIO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6" s="188" t="str">
        <f>IFERROR(_xlfn.XLOOKUP(J236, BASE_MAPA!$B$2:$B$420, BASE_MAPA!$G$2:$G$420), "ERRO")</f>
        <v>OURO VERDE - LIGAÇÃO</v>
      </c>
      <c r="V236" s="142" t="s">
        <v>1445</v>
      </c>
      <c r="W236" s="134" t="s">
        <v>1669</v>
      </c>
      <c r="X236" s="151" t="s">
        <v>1005</v>
      </c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INSPEÇÃO RIV</v>
      </c>
      <c r="AJ236" s="8" t="str">
        <f>IF(D236="","*",VLOOKUP(AI236,BS_ATIVIDADE[#Data],3,FALSE))</f>
        <v>OUTROS</v>
      </c>
      <c r="AK236" s="166" t="str">
        <f>IF(BS_CONTROLE[[#This Row],[Local - Partida]]=0, "-", BS_CONTROLE[[#This Row],[Local - Partida]])</f>
        <v>PPR</v>
      </c>
      <c r="AL236" s="166" t="str">
        <f>IF(BS_CONTROLE[[#This Row],[Local - Encerramento]]=0, "-", BS_CONTROLE[[#This Row],[Local - Encerramento]])</f>
        <v>PIT</v>
      </c>
      <c r="AM236" s="166" t="str">
        <f>IF(BS_CONTROLE[[#This Row],[Entre - Estações]]=0, "-", BS_CONTROLE[[#This Row],[Entre - Estações]])</f>
        <v>PQI-PPR</v>
      </c>
      <c r="AN236" s="166" t="str">
        <f>IF(BS_CONTROLE[[#This Row],[SB]]=0, "-", BS_CONTROLE[[#This Row],[SB]])</f>
        <v>PPRPQI</v>
      </c>
      <c r="AO236" s="167">
        <f>IF(BS_CONTROLE[[#This Row],[SUB]]=0, "-", BS_CONTROLE[[#This Row],[SUB]])</f>
        <v>103</v>
      </c>
      <c r="AP236" s="168">
        <f>IF(BS_CONTROLE[[#This Row],[KM - Inicio]]=0, "-", BS_CONTROLE[[#This Row],[KM - Inicio]])</f>
        <v>1980</v>
      </c>
      <c r="AQ236" s="168">
        <f>IF(BS_CONTROLE[[#This Row],[KM - Fim]]=0, "-", BS_CONTROLE[[#This Row],[KM - Fim]])</f>
        <v>2114</v>
      </c>
      <c r="AR236" s="32"/>
      <c r="AS236" s="32"/>
      <c r="AT236" s="32"/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/>
      <c r="BB236" s="9" t="str">
        <f>IFERROR(_xlfn.XLOOKUP(AI236, BS_ATIVIDADE[ATIVIDADE],BS_ATIVIDADE[UNIDADE] ), "*")</f>
        <v>BINÁRIO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6" s="189" t="str">
        <f>IFERROR(_xlfn.XLOOKUP(AO236, BASE_MAPA!$B$2:$B$420, BASE_MAPA!$G$2:$G$420), "ERRO")</f>
        <v>OURO VERDE - LIGAÇÃO</v>
      </c>
      <c r="BF236" s="169" t="str">
        <f>IF(BS_CONTROLE[[#This Row],[Responsavel pelo boletim]]=0, "-", BS_CONTROLE[[#This Row],[Responsavel pelo boletim]])</f>
        <v>Fernanda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>E1846073</v>
      </c>
      <c r="B238" s="132">
        <v>46073</v>
      </c>
      <c r="C238" s="7">
        <f>IF(BS_CONTROLE[[#This Row],[DATA]]="","",WEEKNUM(BS_CONTROLE[[#This Row],[DATA]]))</f>
        <v>8</v>
      </c>
      <c r="D238" s="45" t="s">
        <v>1629</v>
      </c>
      <c r="E238" s="175">
        <v>265</v>
      </c>
      <c r="F238" s="133" t="s">
        <v>642</v>
      </c>
      <c r="G238" s="8" t="str">
        <f>IF(D238="","*",VLOOKUP(F238,BS_ATIVIDADE[#All],3,FALSE))</f>
        <v>CAMINHÂO - SOLDA</v>
      </c>
      <c r="H238" s="134" t="s">
        <v>348</v>
      </c>
      <c r="I238" s="134" t="s">
        <v>640</v>
      </c>
      <c r="J238" s="150">
        <v>78</v>
      </c>
      <c r="K238" s="150">
        <v>176.7</v>
      </c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34">
        <v>0.35416666666666669</v>
      </c>
      <c r="P238" s="134">
        <v>0.125</v>
      </c>
      <c r="Q238" s="71">
        <v>3</v>
      </c>
      <c r="R238" s="9" t="str">
        <f>IFERROR(_xlfn.XLOOKUP(F238, BS_ATIVIDADE[ATIVIDADE],BS_ATIVIDADE[UNIDADE] ), "*")</f>
        <v>Nº DE SOLDA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188" t="str">
        <f>IFERROR(_xlfn.XLOOKUP(J238, BASE_MAPA!$B$2:$B$420, BASE_MAPA!$G$2:$G$420), "ERRO")</f>
        <v>ITIRAPINA - BAURU</v>
      </c>
      <c r="V238" s="142" t="s">
        <v>1630</v>
      </c>
      <c r="W238" s="134" t="s">
        <v>1631</v>
      </c>
      <c r="X238" s="151" t="s">
        <v>1005</v>
      </c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CAMINHÃO DE SOLDA</v>
      </c>
      <c r="AJ238" s="8" t="str">
        <f>IF(D238="","*",VLOOKUP(AI238,BS_ATIVIDADE[#Data],3,FALSE))</f>
        <v>CAMINHÂO - SOLDA</v>
      </c>
      <c r="AK238" s="166" t="str">
        <f>IF(BS_CONTROLE[[#This Row],[Local - Partida]]=0, "-", BS_CONTROLE[[#This Row],[Local - Partida]])</f>
        <v>ZIQZQY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ZIQ-ZQY</v>
      </c>
      <c r="AN238" s="166" t="str">
        <f>IF(BS_CONTROLE[[#This Row],[SB]]=0, "-", BS_CONTROLE[[#This Row],[SB]])</f>
        <v>ZIQZQY</v>
      </c>
      <c r="AO238" s="167">
        <f>IF(BS_CONTROLE[[#This Row],[SUB]]=0, "-", BS_CONTROLE[[#This Row],[SUB]])</f>
        <v>78</v>
      </c>
      <c r="AP238" s="168">
        <f>IF(BS_CONTROLE[[#This Row],[KM - Inicio]]=0, "-", BS_CONTROLE[[#This Row],[KM - Inicio]])</f>
        <v>176.7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Nº DE SOLDA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89" t="str">
        <f>IFERROR(_xlfn.XLOOKUP(AO238, BASE_MAPA!$B$2:$B$420, BASE_MAPA!$G$2:$G$420), "ERRO")</f>
        <v>ITIRAPINA - BAURU</v>
      </c>
      <c r="BF238" s="169" t="str">
        <f>IF(BS_CONTROLE[[#This Row],[Responsavel pelo boletim]]=0, "-", BS_CONTROLE[[#This Row],[Responsavel pelo boletim]])</f>
        <v>Higor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640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640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640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640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26" priority="18522" operator="equal">
      <formula>"ERRO"</formula>
    </cfRule>
  </conditionalFormatting>
  <conditionalFormatting sqref="X4 Y1:Z4 Y8:Z768">
    <cfRule type="cellIs" dxfId="125" priority="18511" operator="equal">
      <formula>"OPORTUNIDADE"</formula>
    </cfRule>
  </conditionalFormatting>
  <conditionalFormatting sqref="AZ6:AZ768">
    <cfRule type="expression" dxfId="124" priority="18506">
      <formula>$BU6=1</formula>
    </cfRule>
  </conditionalFormatting>
  <conditionalFormatting sqref="BQ6:BQ768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8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8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1:Y1048576">
    <cfRule type="cellIs" dxfId="113" priority="18328" operator="equal">
      <formula>"OPORTUNIDADE"</formula>
    </cfRule>
  </conditionalFormatting>
  <conditionalFormatting sqref="Y1047831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733</v>
      </c>
      <c r="D3" s="176" t="s">
        <v>1704</v>
      </c>
      <c r="E3" s="176" t="s">
        <v>1705</v>
      </c>
      <c r="F3" s="176" t="s">
        <v>1706</v>
      </c>
      <c r="G3" s="176" t="s">
        <v>1707</v>
      </c>
      <c r="H3" s="176" t="s">
        <v>1708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1709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1710</v>
      </c>
      <c r="D12" s="177">
        <v>9049</v>
      </c>
      <c r="E12" s="178">
        <v>46044</v>
      </c>
      <c r="F12" s="180" t="s">
        <v>1711</v>
      </c>
      <c r="G12" s="177" t="s">
        <v>1712</v>
      </c>
      <c r="H12" s="177"/>
    </row>
    <row r="13" spans="3:8">
      <c r="C13" s="177" t="s">
        <v>1710</v>
      </c>
      <c r="D13" s="177">
        <v>9044</v>
      </c>
      <c r="E13" s="178">
        <v>46044</v>
      </c>
      <c r="F13" s="180" t="s">
        <v>1713</v>
      </c>
      <c r="G13" s="177" t="s">
        <v>1714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1716</v>
      </c>
      <c r="C2" s="83" t="s">
        <v>1197</v>
      </c>
      <c r="D2" s="83" t="s">
        <v>1199</v>
      </c>
      <c r="E2" s="83" t="s">
        <v>1717</v>
      </c>
      <c r="F2" s="83" t="s">
        <v>1718</v>
      </c>
      <c r="G2" s="83" t="s">
        <v>1719</v>
      </c>
      <c r="H2" s="83" t="s">
        <v>1720</v>
      </c>
      <c r="I2" s="83" t="s">
        <v>1721</v>
      </c>
      <c r="J2" s="83" t="s">
        <v>1722</v>
      </c>
      <c r="K2" s="109" t="s">
        <v>1723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499TGR2</v>
      </c>
      <c r="F254" s="114" t="str">
        <f>IF(FN_MC!M225="","*",FN_MC!M225)</f>
        <v>TBR-TGR</v>
      </c>
      <c r="G254" s="101" t="str">
        <f>IF(FN_MC!I225="","*",FN_MC!I225)</f>
        <v>-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>
        <f>IF(FN_MC!B228="","*",FN_MC!B228)</f>
        <v>46073</v>
      </c>
      <c r="D257" s="101" t="str">
        <f>IF(FN_MC!D228="","*",FN_MC!D228)</f>
        <v>V48</v>
      </c>
      <c r="E257" s="101" t="str">
        <f>IF(FN_MC!H228="","*",FN_MC!H228)</f>
        <v>TVI</v>
      </c>
      <c r="F257" s="114" t="str">
        <f>IF(FN_MC!M228="","*",FN_MC!M228)</f>
        <v>TVI-TJA</v>
      </c>
      <c r="G257" s="101" t="str">
        <f>IF(FN_MC!I228="","*",FN_MC!I228)</f>
        <v>TVI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>
        <f>IF(FN_MC!B230="","*",FN_MC!B230)</f>
        <v>46073</v>
      </c>
      <c r="D259" s="101" t="str">
        <f>IF(FN_MC!D230="","*",FN_MC!D230)</f>
        <v>W48</v>
      </c>
      <c r="E259" s="101" t="str">
        <f>IF(FN_MC!H230="","*",FN_MC!H230)</f>
        <v>TIN</v>
      </c>
      <c r="F259" s="114" t="str">
        <f>IF(FN_MC!M230="","*",FN_MC!M230)</f>
        <v>TSP-TIN</v>
      </c>
      <c r="G259" s="101" t="str">
        <f>IF(FN_MC!I230="","*",FN_MC!I230)</f>
        <v>TIN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>
        <f>IF(FN_MC!B233="","*",FN_MC!B233)</f>
        <v>46073</v>
      </c>
      <c r="D262" s="101" t="str">
        <f>IF(FN_MC!D233="","*",FN_MC!D233)</f>
        <v>MARCOS (TF-520)</v>
      </c>
      <c r="E262" s="101" t="str">
        <f>IF(FN_MC!H233="","*",FN_MC!H233)</f>
        <v>K97TIN</v>
      </c>
      <c r="F262" s="114" t="str">
        <f>IF(FN_MC!M233="","*",FN_MC!M233)</f>
        <v>TSP-TIN</v>
      </c>
      <c r="G262" s="101" t="str">
        <f>IF(FN_MC!I233="","*",FN_MC!I233)</f>
        <v>-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>
        <f>IF(FN_MC!B235="","*",FN_MC!B235)</f>
        <v>46073</v>
      </c>
      <c r="D264" s="101" t="str">
        <f>IF(FN_MC!D235="","*",FN_MC!D235)</f>
        <v>W50</v>
      </c>
      <c r="E264" s="101" t="str">
        <f>IF(FN_MC!H235="","*",FN_MC!H235)</f>
        <v>TAP</v>
      </c>
      <c r="F264" s="114" t="str">
        <f>IF(FN_MC!M235="","*",FN_MC!M235)</f>
        <v>TAP-TLG</v>
      </c>
      <c r="G264" s="101" t="str">
        <f>IF(FN_MC!I235="","*",FN_MC!I235)</f>
        <v>TIN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>
        <f>IF(FN_MC!B236="","*",FN_MC!B236)</f>
        <v>46073</v>
      </c>
      <c r="D265" s="101" t="str">
        <f>IF(FN_MC!D236="","*",FN_MC!D236)</f>
        <v>V80</v>
      </c>
      <c r="E265" s="101" t="str">
        <f>IF(FN_MC!H236="","*",FN_MC!H236)</f>
        <v>PPR</v>
      </c>
      <c r="F265" s="114" t="str">
        <f>IF(FN_MC!M236="","*",FN_MC!M236)</f>
        <v>PQI-PPR</v>
      </c>
      <c r="G265" s="101" t="str">
        <f>IF(FN_MC!I236="","*",FN_MC!I236)</f>
        <v>PIT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>
        <f>IF(FN_MC!B238="","*",FN_MC!B238)</f>
        <v>46073</v>
      </c>
      <c r="D267" s="101" t="str">
        <f>IF(FN_MC!D238="","*",FN_MC!D238)</f>
        <v>E18</v>
      </c>
      <c r="E267" s="101" t="str">
        <f>IF(FN_MC!H238="","*",FN_MC!H238)</f>
        <v>ZIQZQY</v>
      </c>
      <c r="F267" s="114" t="str">
        <f>IF(FN_MC!M238="","*",FN_MC!M238)</f>
        <v>ZIQ-ZQY</v>
      </c>
      <c r="G267" s="101" t="str">
        <f>IF(FN_MC!I238="","*",FN_MC!I238)</f>
        <v>-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1724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1725</v>
      </c>
      <c r="B3" s="91" t="s">
        <v>1726</v>
      </c>
      <c r="C3" s="91" t="s">
        <v>636</v>
      </c>
      <c r="D3" s="92" t="s">
        <v>1212</v>
      </c>
      <c r="E3" s="92" t="s">
        <v>4</v>
      </c>
      <c r="F3" s="92" t="s">
        <v>1727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1728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MODERNIZAÇÃO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Contrato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Oportunidade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Oportunidade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Contrato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499TGR2</v>
      </c>
      <c r="J228" s="96" t="str">
        <f>IF(FN_MC!I225="","*",FN_MC!I225)</f>
        <v>-</v>
      </c>
      <c r="K228" s="96" t="str">
        <f>IF(FN_MC!M225="","*",FN_MC!M225)</f>
        <v>TBR-TGR</v>
      </c>
      <c r="L228" s="186" t="str">
        <f>IF(FN_MC!N225="","*",FN_MC!N225)</f>
        <v>499TGR2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>
        <f>IF(FN_MC!P225="","*",FN_MC!P225)</f>
        <v>8.3333333333333329E-2</v>
      </c>
      <c r="R228" s="96" t="str">
        <f>IF(FN_MC!Q225="","*",CONCATENATE(FN_MC!Q225," ",FN_MC!R225))</f>
        <v>2 Nº DE SOLDA</v>
      </c>
      <c r="S228" s="96" t="str">
        <f>IF(FN_MC!V225="","*",FN_MC!V225)</f>
        <v>Elson</v>
      </c>
      <c r="T228" s="96" t="str">
        <f>IF(FN_MC!W225="","*",FN_MC!W225)</f>
        <v>Execução de solda VIA2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Contrato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Oportunidade</v>
      </c>
      <c r="C231" s="95" t="str">
        <f>IF(FN_MC!Z228="","*",FN_MC!Z228)</f>
        <v>*</v>
      </c>
      <c r="D231" s="96" t="str">
        <f>IF(FN_MC!S228="","*",FN_MC!S228)</f>
        <v>FERRONORTE</v>
      </c>
      <c r="E231" s="96" t="str">
        <f>IF(FN_MC!T228="","*",FN_MC!T228)</f>
        <v>TMI-TCS</v>
      </c>
      <c r="F231" s="96">
        <f>IF(FN_MC!B228="","*",FN_MC!B228)</f>
        <v>46073</v>
      </c>
      <c r="G231" s="96" t="str">
        <f>IF(FN_MC!D228="","*",FN_MC!D228)</f>
        <v>V48</v>
      </c>
      <c r="H231" s="96" t="str">
        <f>IF(FN_MC!F228="","*",FN_MC!F228)</f>
        <v>MODERNIZAÇÃO - SOCADORA</v>
      </c>
      <c r="I231" s="96" t="str">
        <f>IF(FN_MC!H228="","*",FN_MC!H228)</f>
        <v>TVI</v>
      </c>
      <c r="J231" s="96" t="str">
        <f>IF(FN_MC!I228="","*",FN_MC!I228)</f>
        <v>TVI</v>
      </c>
      <c r="K231" s="96" t="str">
        <f>IF(FN_MC!M228="","*",FN_MC!M228)</f>
        <v>TVI-TJA</v>
      </c>
      <c r="L231" s="186" t="str">
        <f>IF(FN_MC!N228="","*",FN_MC!N228)</f>
        <v>TVI239</v>
      </c>
      <c r="M231" s="97">
        <f>IF(FN_MC!J228="","*",FN_MC!J228)</f>
        <v>74</v>
      </c>
      <c r="N231" s="173">
        <f>IF(FN_MC!K228="","*",FN_MC!K228)</f>
        <v>237.4</v>
      </c>
      <c r="O231" s="173">
        <f>IF(FN_MC!L228="","*",FN_MC!L228)</f>
        <v>239</v>
      </c>
      <c r="P231" s="107">
        <f>IF(FN_MC!O228="","*",FN_MC!O228)</f>
        <v>0.375</v>
      </c>
      <c r="Q231" s="107">
        <f>IF(FN_MC!P228="","*",FN_MC!P228)</f>
        <v>8.3333333333333329E-2</v>
      </c>
      <c r="R231" s="96" t="str">
        <f>IF(FN_MC!Q228="","*",CONCATENATE(FN_MC!Q228," ",FN_MC!R228))</f>
        <v>1000 M</v>
      </c>
      <c r="S231" s="96" t="str">
        <f>IF(FN_MC!V228="","*",FN_MC!V228)</f>
        <v>Ezequiel</v>
      </c>
      <c r="T231" s="96" t="str">
        <f>IF(FN_MC!W228="","*",FN_MC!W228)</f>
        <v>Socaria mecanizada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Contrato</v>
      </c>
      <c r="C233" s="95" t="str">
        <f>IF(FN_MC!Z230="","*",FN_MC!Z230)</f>
        <v>*</v>
      </c>
      <c r="D233" s="96" t="str">
        <f>IF(FN_MC!S230="","*",FN_MC!S230)</f>
        <v>FERRONORTE</v>
      </c>
      <c r="E233" s="96" t="str">
        <f>IF(FN_MC!T230="","*",FN_MC!T230)</f>
        <v>TMI-TCS</v>
      </c>
      <c r="F233" s="96">
        <f>IF(FN_MC!B230="","*",FN_MC!B230)</f>
        <v>46073</v>
      </c>
      <c r="G233" s="96" t="str">
        <f>IF(FN_MC!D230="","*",FN_MC!D230)</f>
        <v>W48</v>
      </c>
      <c r="H233" s="96" t="str">
        <f>IF(FN_MC!F230="","*",FN_MC!F230)</f>
        <v>MECANIZAÇÃO - DOL</v>
      </c>
      <c r="I233" s="96" t="str">
        <f>IF(FN_MC!H230="","*",FN_MC!H230)</f>
        <v>TIN</v>
      </c>
      <c r="J233" s="96" t="str">
        <f>IF(FN_MC!I230="","*",FN_MC!I230)</f>
        <v>TIN</v>
      </c>
      <c r="K233" s="96" t="str">
        <f>IF(FN_MC!M230="","*",FN_MC!M230)</f>
        <v>TSP-TIN</v>
      </c>
      <c r="L233" s="186" t="str">
        <f>IF(FN_MC!N230="","*",FN_MC!N230)</f>
        <v>K97TIN</v>
      </c>
      <c r="M233" s="97">
        <f>IF(FN_MC!J230="","*",FN_MC!J230)</f>
        <v>74</v>
      </c>
      <c r="N233" s="173">
        <f>IF(FN_MC!K230="","*",FN_MC!K230)</f>
        <v>104.3</v>
      </c>
      <c r="O233" s="173">
        <f>IF(FN_MC!L230="","*",FN_MC!L230)</f>
        <v>100.7</v>
      </c>
      <c r="P233" s="107">
        <f>IF(FN_MC!O230="","*",FN_MC!O230)</f>
        <v>0.375</v>
      </c>
      <c r="Q233" s="107">
        <f>IF(FN_MC!P230="","*",FN_MC!P230)</f>
        <v>0.16666666666666666</v>
      </c>
      <c r="R233" s="96" t="str">
        <f>IF(FN_MC!Q230="","*",CONCATENATE(FN_MC!Q230," ",FN_MC!R230))</f>
        <v>3000 M</v>
      </c>
      <c r="S233" s="96" t="str">
        <f>IF(FN_MC!V230="","*",FN_MC!V230)</f>
        <v>Rodrigo</v>
      </c>
      <c r="T233" s="96" t="str">
        <f>IF(FN_MC!W230="","*",FN_MC!W230)</f>
        <v>Mecanização DOL</v>
      </c>
      <c r="U233" s="98">
        <f ca="1">_xlfn.XLOOKUP(G233&amp;$U$3,BS_CONTROLE[CHAVE],BS_CONTROLE[Quantidade_11],"-")</f>
        <v>3322</v>
      </c>
      <c r="V233" s="98">
        <f ca="1">_xlfn.XLOOKUP(G233&amp;$V$3,BS_CONTROLE[CHAVE],BS_CONTROLE[Quantidade_11],"-")</f>
        <v>3035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Oportunidade</v>
      </c>
      <c r="C236" s="95" t="str">
        <f>IF(FN_MC!Z233="","*",FN_MC!Z233)</f>
        <v>*</v>
      </c>
      <c r="D236" s="96" t="str">
        <f>IF(FN_MC!S233="","*",FN_MC!S233)</f>
        <v>FERRONORTE</v>
      </c>
      <c r="E236" s="96" t="str">
        <f>IF(FN_MC!T233="","*",FN_MC!T233)</f>
        <v>TMI-TCS</v>
      </c>
      <c r="F236" s="96">
        <f>IF(FN_MC!B233="","*",FN_MC!B233)</f>
        <v>46073</v>
      </c>
      <c r="G236" s="96" t="str">
        <f>IF(FN_MC!D233="","*",FN_MC!D233)</f>
        <v>MARCOS (TF-520)</v>
      </c>
      <c r="H236" s="96" t="str">
        <f>IF(FN_MC!F233="","*",FN_MC!F233)</f>
        <v>PDM - SOLDA</v>
      </c>
      <c r="I236" s="96" t="str">
        <f>IF(FN_MC!H233="","*",FN_MC!H233)</f>
        <v>K97TIN</v>
      </c>
      <c r="J236" s="96" t="str">
        <f>IF(FN_MC!I233="","*",FN_MC!I233)</f>
        <v>-</v>
      </c>
      <c r="K236" s="96" t="str">
        <f>IF(FN_MC!M233="","*",FN_MC!M233)</f>
        <v>TSP-TIN</v>
      </c>
      <c r="L236" s="186" t="str">
        <f>IF(FN_MC!N233="","*",FN_MC!N233)</f>
        <v>K97TIN</v>
      </c>
      <c r="M236" s="97">
        <f>IF(FN_MC!J233="","*",FN_MC!J233)</f>
        <v>74</v>
      </c>
      <c r="N236" s="173">
        <f>IF(FN_MC!K233="","*",FN_MC!K233)</f>
        <v>97.64</v>
      </c>
      <c r="O236" s="173" t="str">
        <f>IF(FN_MC!L233="","*",FN_MC!L233)</f>
        <v>-</v>
      </c>
      <c r="P236" s="107">
        <f>IF(FN_MC!O233="","*",FN_MC!O233)</f>
        <v>0.375</v>
      </c>
      <c r="Q236" s="107">
        <f>IF(FN_MC!P233="","*",FN_MC!P233)</f>
        <v>0.125</v>
      </c>
      <c r="R236" s="96" t="str">
        <f>IF(FN_MC!Q233="","*",CONCATENATE(FN_MC!Q233," ",FN_MC!R233))</f>
        <v>2 Nº DE SOLDA</v>
      </c>
      <c r="S236" s="96" t="str">
        <f>IF(FN_MC!V233="","*",FN_MC!V233)</f>
        <v>Marcos Euzebio</v>
      </c>
      <c r="T236" s="96" t="str">
        <f>IF(FN_MC!W233="","*",FN_MC!W233)</f>
        <v xml:space="preserve">Execução de solda - Condicionado a temperatura </v>
      </c>
      <c r="U236" s="98">
        <f ca="1">_xlfn.XLOOKUP(G236&amp;$U$3,BS_CONTROLE[CHAVE],BS_CONTROLE[Quantidade_11],"-")</f>
        <v>2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2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 xml:space="preserve">
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Contrato</v>
      </c>
      <c r="C238" s="95" t="str">
        <f>IF(FN_MC!Z235="","*",FN_MC!Z235)</f>
        <v>*</v>
      </c>
      <c r="D238" s="96" t="str">
        <f>IF(FN_MC!S235="","*",FN_MC!S235)</f>
        <v>FERRONORTE</v>
      </c>
      <c r="E238" s="96" t="str">
        <f>IF(FN_MC!T235="","*",FN_MC!T235)</f>
        <v>TMI-TCS</v>
      </c>
      <c r="F238" s="96">
        <f>IF(FN_MC!B235="","*",FN_MC!B235)</f>
        <v>46073</v>
      </c>
      <c r="G238" s="96" t="str">
        <f>IF(FN_MC!D235="","*",FN_MC!D235)</f>
        <v>W50</v>
      </c>
      <c r="H238" s="96" t="str">
        <f>IF(FN_MC!F235="","*",FN_MC!F235)</f>
        <v>MODERNIZAÇÃO - DORMENTE - DESCARGA</v>
      </c>
      <c r="I238" s="96" t="str">
        <f>IF(FN_MC!H235="","*",FN_MC!H235)</f>
        <v>TAP</v>
      </c>
      <c r="J238" s="96" t="str">
        <f>IF(FN_MC!I235="","*",FN_MC!I235)</f>
        <v>TIN</v>
      </c>
      <c r="K238" s="96" t="str">
        <f>IF(FN_MC!M235="","*",FN_MC!M235)</f>
        <v>TAP-TLG</v>
      </c>
      <c r="L238" s="186" t="str">
        <f>IF(FN_MC!N235="","*",FN_MC!N235)</f>
        <v>K35TLG</v>
      </c>
      <c r="M238" s="97">
        <f>IF(FN_MC!J235="","*",FN_MC!J235)</f>
        <v>74</v>
      </c>
      <c r="N238" s="173">
        <f>IF(FN_MC!K235="","*",FN_MC!K235)</f>
        <v>37.5</v>
      </c>
      <c r="O238" s="173">
        <f>IF(FN_MC!L235="","*",FN_MC!L235)</f>
        <v>38.5</v>
      </c>
      <c r="P238" s="107">
        <f>IF(FN_MC!O235="","*",FN_MC!O235)</f>
        <v>0.4375</v>
      </c>
      <c r="Q238" s="107">
        <f>IF(FN_MC!P235="","*",FN_MC!P235)</f>
        <v>6.25E-2</v>
      </c>
      <c r="R238" s="96" t="str">
        <f>IF(FN_MC!Q235="","*",CONCATENATE(FN_MC!Q235," ",FN_MC!R235))</f>
        <v>100 Nº DE DORMENTES</v>
      </c>
      <c r="S238" s="96" t="str">
        <f>IF(FN_MC!V235="","*",FN_MC!V235)</f>
        <v>Augusto/ Efraim</v>
      </c>
      <c r="T238" s="96" t="str">
        <f>IF(FN_MC!W235="","*",FN_MC!W235)</f>
        <v>Descarga de dormentes no km 37,5 ao 38,5 - e retorna para TIN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15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Oportunidade</v>
      </c>
      <c r="C239" s="95" t="str">
        <f>IF(FN_MC!Z236="","*",FN_MC!Z236)</f>
        <v>*</v>
      </c>
      <c r="D239" s="96" t="str">
        <f>IF(FN_MC!S236="","*",FN_MC!S236)</f>
        <v>MALHA CENTRAL</v>
      </c>
      <c r="E239" s="96" t="str">
        <f>IF(FN_MC!T236="","*",FN_MC!T236)</f>
        <v>PRV-POV</v>
      </c>
      <c r="F239" s="96">
        <f>IF(FN_MC!B236="","*",FN_MC!B236)</f>
        <v>46073</v>
      </c>
      <c r="G239" s="96" t="str">
        <f>IF(FN_MC!D236="","*",FN_MC!D236)</f>
        <v>V80</v>
      </c>
      <c r="H239" s="96" t="str">
        <f>IF(FN_MC!F236="","*",FN_MC!F236)</f>
        <v>INSPEÇÃO RIV</v>
      </c>
      <c r="I239" s="96" t="str">
        <f>IF(FN_MC!H236="","*",FN_MC!H236)</f>
        <v>PPR</v>
      </c>
      <c r="J239" s="96" t="str">
        <f>IF(FN_MC!I236="","*",FN_MC!I236)</f>
        <v>PIT</v>
      </c>
      <c r="K239" s="96" t="str">
        <f>IF(FN_MC!M236="","*",FN_MC!M236)</f>
        <v>PQI-PPR</v>
      </c>
      <c r="L239" s="186" t="str">
        <f>IF(FN_MC!N236="","*",FN_MC!N236)</f>
        <v>PPRPQI</v>
      </c>
      <c r="M239" s="97">
        <f>IF(FN_MC!J236="","*",FN_MC!J236)</f>
        <v>103</v>
      </c>
      <c r="N239" s="173">
        <f>IF(FN_MC!K236="","*",FN_MC!K236)</f>
        <v>1980</v>
      </c>
      <c r="O239" s="173">
        <f>IF(FN_MC!L236="","*",FN_MC!L236)</f>
        <v>2114</v>
      </c>
      <c r="P239" s="107">
        <f>IF(FN_MC!O236="","*",FN_MC!O236)</f>
        <v>0.41666666666666669</v>
      </c>
      <c r="Q239" s="107">
        <f>IF(FN_MC!P236="","*",FN_MC!P236)</f>
        <v>4.1666666666666664E-2</v>
      </c>
      <c r="R239" s="96" t="str">
        <f>IF(FN_MC!Q236="","*",CONCATENATE(FN_MC!Q236," ",FN_MC!R236))</f>
        <v>1 BINÁRIO</v>
      </c>
      <c r="S239" s="96" t="str">
        <f>IF(FN_MC!V236="","*",FN_MC!V236)</f>
        <v>Fernanda</v>
      </c>
      <c r="T239" s="96" t="str">
        <f>IF(FN_MC!W236="","*",FN_MC!W236)</f>
        <v>Inspeção RIV</v>
      </c>
      <c r="U239" s="98">
        <f ca="1">_xlfn.XLOOKUP(G239&amp;$U$3,BS_CONTROLE[CHAVE],BS_CONTROLE[Quantidade_11],"-")</f>
        <v>0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Oportunidade</v>
      </c>
      <c r="C241" s="95" t="str">
        <f>IF(FN_MC!Z238="","*",FN_MC!Z238)</f>
        <v>*</v>
      </c>
      <c r="D241" s="96" t="str">
        <f>IF(FN_MC!S238="","*",FN_MC!S238)</f>
        <v>MALHA CENTRAL</v>
      </c>
      <c r="E241" s="96" t="str">
        <f>IF(FN_MC!T238="","*",FN_MC!T238)</f>
        <v>RAMAL</v>
      </c>
      <c r="F241" s="96">
        <f>IF(FN_MC!B238="","*",FN_MC!B238)</f>
        <v>46073</v>
      </c>
      <c r="G241" s="96" t="str">
        <f>IF(FN_MC!D238="","*",FN_MC!D238)</f>
        <v>E18</v>
      </c>
      <c r="H241" s="96" t="str">
        <f>IF(FN_MC!F238="","*",FN_MC!F238)</f>
        <v>CAMINHÃO DE SOLDA</v>
      </c>
      <c r="I241" s="96" t="str">
        <f>IF(FN_MC!H238="","*",FN_MC!H238)</f>
        <v>ZIQZQY</v>
      </c>
      <c r="J241" s="96" t="str">
        <f>IF(FN_MC!I238="","*",FN_MC!I238)</f>
        <v>-</v>
      </c>
      <c r="K241" s="96" t="str">
        <f>IF(FN_MC!M238="","*",FN_MC!M238)</f>
        <v>ZIQ-ZQY</v>
      </c>
      <c r="L241" s="186" t="str">
        <f>IF(FN_MC!N238="","*",FN_MC!N238)</f>
        <v>ZIQZQY</v>
      </c>
      <c r="M241" s="97">
        <f>IF(FN_MC!J238="","*",FN_MC!J238)</f>
        <v>78</v>
      </c>
      <c r="N241" s="173">
        <f>IF(FN_MC!K238="","*",FN_MC!K238)</f>
        <v>176.7</v>
      </c>
      <c r="O241" s="173" t="str">
        <f>IF(FN_MC!L238="","*",FN_MC!L238)</f>
        <v>-</v>
      </c>
      <c r="P241" s="107">
        <f>IF(FN_MC!O238="","*",FN_MC!O238)</f>
        <v>0.35416666666666669</v>
      </c>
      <c r="Q241" s="107">
        <f>IF(FN_MC!P238="","*",FN_MC!P238)</f>
        <v>0.125</v>
      </c>
      <c r="R241" s="96" t="str">
        <f>IF(FN_MC!Q238="","*",CONCATENATE(FN_MC!Q238," ",FN_MC!R238))</f>
        <v>3 Nº DE SOLDA</v>
      </c>
      <c r="S241" s="96" t="str">
        <f>IF(FN_MC!V238="","*",FN_MC!V238)</f>
        <v>Higor</v>
      </c>
      <c r="T241" s="96" t="str">
        <f>IF(FN_MC!W238="","*",FN_MC!W238)</f>
        <v>Caminhão de solda</v>
      </c>
      <c r="U241" s="98">
        <f ca="1">_xlfn.XLOOKUP(G241&amp;$U$3,BS_CONTROLE[CHAVE],BS_CONTROLE[Quantidade_11],"-")</f>
        <v>5</v>
      </c>
      <c r="V241" s="98">
        <f ca="1">_xlfn.XLOOKUP(G241&amp;$V$3,BS_CONTROLE[CHAVE],BS_CONTROLE[Quantidade_11],"-")</f>
        <v>0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Contrato</v>
      </c>
      <c r="C245" s="95" t="str">
        <f>IF(FN_MC!Z230="","*",FN_MC!Z230)</f>
        <v>*</v>
      </c>
      <c r="D245" s="96" t="str">
        <f>IF(FN_MC!S230="","*",FN_MC!S230)</f>
        <v>FERRONORTE</v>
      </c>
      <c r="E245" s="96" t="str">
        <f>IF(FN_MC!T230="","*",FN_MC!T230)</f>
        <v>TMI-TCS</v>
      </c>
      <c r="F245" s="96">
        <f>IF(FN_MC!B230="","*",FN_MC!B230)</f>
        <v>46073</v>
      </c>
      <c r="G245" s="96" t="str">
        <f>IF(FN_MC!D230="","*",FN_MC!D230)</f>
        <v>W48</v>
      </c>
      <c r="H245" s="96" t="str">
        <f>IF(FN_MC!F230="","*",FN_MC!F230)</f>
        <v>MECANIZAÇÃO - DOL</v>
      </c>
      <c r="I245" s="96" t="str">
        <f>IF(FN_MC!H230="","*",FN_MC!H230)</f>
        <v>TIN</v>
      </c>
      <c r="J245" s="96" t="str">
        <f>IF(FN_MC!I230="","*",FN_MC!I230)</f>
        <v>TIN</v>
      </c>
      <c r="K245" s="96" t="str">
        <f>IF(FN_MC!M230="","*",FN_MC!M230)</f>
        <v>TSP-TIN</v>
      </c>
      <c r="L245" s="186" t="str">
        <f>IF(FN_MC!N230="","*",FN_MC!N230)</f>
        <v>K97TIN</v>
      </c>
      <c r="M245" s="97">
        <f>IF(FN_MC!J230="","*",FN_MC!J230)</f>
        <v>74</v>
      </c>
      <c r="N245" s="173">
        <f>IF(FN_MC!K230="","*",FN_MC!K230)</f>
        <v>104.3</v>
      </c>
      <c r="O245" s="173">
        <f>IF(FN_MC!L230="","*",FN_MC!L230)</f>
        <v>100.7</v>
      </c>
      <c r="P245" s="107">
        <f>IF(FN_MC!O230="","*",FN_MC!O230)</f>
        <v>0.375</v>
      </c>
      <c r="Q245" s="107">
        <f>IF(FN_MC!P230="","*",FN_MC!P230)</f>
        <v>0.16666666666666666</v>
      </c>
      <c r="R245" s="96" t="str">
        <f>IF(FN_MC!Q230="","*",CONCATENATE(FN_MC!Q230," ",FN_MC!R230))</f>
        <v>3000 M</v>
      </c>
      <c r="S245" s="96" t="str">
        <f>IF(FN_MC!V230="","*",FN_MC!V230)</f>
        <v>Rodrigo</v>
      </c>
      <c r="T245" s="96" t="str">
        <f>IF(FN_MC!W230="","*",FN_MC!W230)</f>
        <v>Mecanização DOL</v>
      </c>
      <c r="U245" s="98">
        <f ca="1">_xlfn.XLOOKUP(G245&amp;$U$3,BS_CONTROLE[CHAVE],BS_CONTROLE[Quantidade_11],"-")</f>
        <v>3322</v>
      </c>
      <c r="V245" s="98">
        <f ca="1">_xlfn.XLOOKUP(G245&amp;$V$3,BS_CONTROLE[CHAVE],BS_CONTROLE[Quantidade_11],"-")</f>
        <v>3035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Oportunidade</v>
      </c>
      <c r="C248" s="95" t="str">
        <f>IF(FN_MC!Z233="","*",FN_MC!Z233)</f>
        <v>*</v>
      </c>
      <c r="D248" s="96" t="str">
        <f>IF(FN_MC!S233="","*",FN_MC!S233)</f>
        <v>FERRONORTE</v>
      </c>
      <c r="E248" s="96" t="str">
        <f>IF(FN_MC!T233="","*",FN_MC!T233)</f>
        <v>TMI-TCS</v>
      </c>
      <c r="F248" s="96">
        <f>IF(FN_MC!B233="","*",FN_MC!B233)</f>
        <v>46073</v>
      </c>
      <c r="G248" s="96" t="str">
        <f>IF(FN_MC!D233="","*",FN_MC!D233)</f>
        <v>MARCOS (TF-520)</v>
      </c>
      <c r="H248" s="96" t="str">
        <f>IF(FN_MC!F233="","*",FN_MC!F233)</f>
        <v>PDM - SOLDA</v>
      </c>
      <c r="I248" s="96" t="str">
        <f>IF(FN_MC!H233="","*",FN_MC!H233)</f>
        <v>K97TIN</v>
      </c>
      <c r="J248" s="96" t="str">
        <f>IF(FN_MC!I233="","*",FN_MC!I233)</f>
        <v>-</v>
      </c>
      <c r="K248" s="96" t="str">
        <f>IF(FN_MC!M233="","*",FN_MC!M233)</f>
        <v>TSP-TIN</v>
      </c>
      <c r="L248" s="186" t="str">
        <f>IF(FN_MC!N233="","*",FN_MC!N233)</f>
        <v>K97TIN</v>
      </c>
      <c r="M248" s="97">
        <f>IF(FN_MC!J233="","*",FN_MC!J233)</f>
        <v>74</v>
      </c>
      <c r="N248" s="173">
        <f>IF(FN_MC!K233="","*",FN_MC!K233)</f>
        <v>97.64</v>
      </c>
      <c r="O248" s="173" t="str">
        <f>IF(FN_MC!L233="","*",FN_MC!L233)</f>
        <v>-</v>
      </c>
      <c r="P248" s="107">
        <f>IF(FN_MC!O233="","*",FN_MC!O233)</f>
        <v>0.375</v>
      </c>
      <c r="Q248" s="107">
        <f>IF(FN_MC!P233="","*",FN_MC!P233)</f>
        <v>0.125</v>
      </c>
      <c r="R248" s="96" t="str">
        <f>IF(FN_MC!Q233="","*",CONCATENATE(FN_MC!Q233," ",FN_MC!R233))</f>
        <v>2 Nº DE SOLDA</v>
      </c>
      <c r="S248" s="96" t="str">
        <f>IF(FN_MC!V233="","*",FN_MC!V233)</f>
        <v>Marcos Euzebio</v>
      </c>
      <c r="T248" s="96" t="str">
        <f>IF(FN_MC!W233="","*",FN_MC!W233)</f>
        <v xml:space="preserve">Execução de solda - Condicionado a temperatura </v>
      </c>
      <c r="U248" s="98">
        <f ca="1">_xlfn.XLOOKUP(G248&amp;$U$3,BS_CONTROLE[CHAVE],BS_CONTROLE[Quantidade_11],"-")</f>
        <v>2</v>
      </c>
      <c r="V248" s="98">
        <f ca="1">_xlfn.XLOOKUP(G248&amp;$V$3,BS_CONTROLE[CHAVE],BS_CONTROLE[Quantidade_11],"-")</f>
        <v>0</v>
      </c>
      <c r="W248" s="98">
        <f ca="1">_xlfn.XLOOKUP(G248&amp;$W$3,BS_CONTROLE[CHAVE],BS_CONTROLE[Quantidade_11],"-")</f>
        <v>2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 xml:space="preserve">
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Contrato</v>
      </c>
      <c r="C250" s="95" t="str">
        <f>IF(FN_MC!Z235="","*",FN_MC!Z235)</f>
        <v>*</v>
      </c>
      <c r="D250" s="96" t="str">
        <f>IF(FN_MC!S235="","*",FN_MC!S235)</f>
        <v>FERRONORTE</v>
      </c>
      <c r="E250" s="96" t="str">
        <f>IF(FN_MC!T235="","*",FN_MC!T235)</f>
        <v>TMI-TCS</v>
      </c>
      <c r="F250" s="96">
        <f>IF(FN_MC!B235="","*",FN_MC!B235)</f>
        <v>46073</v>
      </c>
      <c r="G250" s="96" t="str">
        <f>IF(FN_MC!D235="","*",FN_MC!D235)</f>
        <v>W50</v>
      </c>
      <c r="H250" s="96" t="str">
        <f>IF(FN_MC!F235="","*",FN_MC!F235)</f>
        <v>MODERNIZAÇÃO - DORMENTE - DESCARGA</v>
      </c>
      <c r="I250" s="96" t="str">
        <f>IF(FN_MC!H235="","*",FN_MC!H235)</f>
        <v>TAP</v>
      </c>
      <c r="J250" s="96" t="str">
        <f>IF(FN_MC!I235="","*",FN_MC!I235)</f>
        <v>TIN</v>
      </c>
      <c r="K250" s="96" t="str">
        <f>IF(FN_MC!M235="","*",FN_MC!M235)</f>
        <v>TAP-TLG</v>
      </c>
      <c r="L250" s="186" t="str">
        <f>IF(FN_MC!N235="","*",FN_MC!N235)</f>
        <v>K35TLG</v>
      </c>
      <c r="M250" s="97">
        <f>IF(FN_MC!J235="","*",FN_MC!J235)</f>
        <v>74</v>
      </c>
      <c r="N250" s="173">
        <f>IF(FN_MC!K235="","*",FN_MC!K235)</f>
        <v>37.5</v>
      </c>
      <c r="O250" s="173">
        <f>IF(FN_MC!L235="","*",FN_MC!L235)</f>
        <v>38.5</v>
      </c>
      <c r="P250" s="107">
        <f>IF(FN_MC!O235="","*",FN_MC!O235)</f>
        <v>0.4375</v>
      </c>
      <c r="Q250" s="107">
        <f>IF(FN_MC!P235="","*",FN_MC!P235)</f>
        <v>6.25E-2</v>
      </c>
      <c r="R250" s="96" t="str">
        <f>IF(FN_MC!Q235="","*",CONCATENATE(FN_MC!Q235," ",FN_MC!R235))</f>
        <v>100 Nº DE DORMENTES</v>
      </c>
      <c r="S250" s="96" t="str">
        <f>IF(FN_MC!V235="","*",FN_MC!V235)</f>
        <v>Augusto/ Efraim</v>
      </c>
      <c r="T250" s="96" t="str">
        <f>IF(FN_MC!W235="","*",FN_MC!W235)</f>
        <v>Descarga de dormentes no km 37,5 ao 38,5 - e retorna para TIN</v>
      </c>
      <c r="U250" s="98">
        <f ca="1">_xlfn.XLOOKUP(G250&amp;$U$3,BS_CONTROLE[CHAVE],BS_CONTROLE[Quantidade_11],"-")</f>
        <v>0</v>
      </c>
      <c r="V250" s="98">
        <f ca="1">_xlfn.XLOOKUP(G250&amp;$V$3,BS_CONTROLE[CHAVE],BS_CONTROLE[Quantidade_11],"-")</f>
        <v>15</v>
      </c>
      <c r="W250" s="98">
        <f ca="1">_xlfn.XLOOKUP(G250&amp;$W$3,BS_CONTROLE[CHAVE],BS_CONTROLE[Quantidade_11],"-")</f>
        <v>0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Oportunidade</v>
      </c>
      <c r="C251" s="95" t="str">
        <f>IF(FN_MC!Z236="","*",FN_MC!Z236)</f>
        <v>*</v>
      </c>
      <c r="D251" s="96" t="str">
        <f>IF(FN_MC!S236="","*",FN_MC!S236)</f>
        <v>MALHA CENTRAL</v>
      </c>
      <c r="E251" s="96" t="str">
        <f>IF(FN_MC!T236="","*",FN_MC!T236)</f>
        <v>PRV-POV</v>
      </c>
      <c r="F251" s="96">
        <f>IF(FN_MC!B236="","*",FN_MC!B236)</f>
        <v>46073</v>
      </c>
      <c r="G251" s="96" t="str">
        <f>IF(FN_MC!D236="","*",FN_MC!D236)</f>
        <v>V80</v>
      </c>
      <c r="H251" s="96" t="str">
        <f>IF(FN_MC!F236="","*",FN_MC!F236)</f>
        <v>INSPEÇÃO RIV</v>
      </c>
      <c r="I251" s="96" t="str">
        <f>IF(FN_MC!H236="","*",FN_MC!H236)</f>
        <v>PPR</v>
      </c>
      <c r="J251" s="96" t="str">
        <f>IF(FN_MC!I236="","*",FN_MC!I236)</f>
        <v>PIT</v>
      </c>
      <c r="K251" s="96" t="str">
        <f>IF(FN_MC!M236="","*",FN_MC!M236)</f>
        <v>PQI-PPR</v>
      </c>
      <c r="L251" s="186" t="str">
        <f>IF(FN_MC!N236="","*",FN_MC!N236)</f>
        <v>PPRPQI</v>
      </c>
      <c r="M251" s="97">
        <f>IF(FN_MC!J236="","*",FN_MC!J236)</f>
        <v>103</v>
      </c>
      <c r="N251" s="173">
        <f>IF(FN_MC!K236="","*",FN_MC!K236)</f>
        <v>1980</v>
      </c>
      <c r="O251" s="173">
        <f>IF(FN_MC!L236="","*",FN_MC!L236)</f>
        <v>2114</v>
      </c>
      <c r="P251" s="107">
        <f>IF(FN_MC!O236="","*",FN_MC!O236)</f>
        <v>0.41666666666666669</v>
      </c>
      <c r="Q251" s="107">
        <f>IF(FN_MC!P236="","*",FN_MC!P236)</f>
        <v>4.1666666666666664E-2</v>
      </c>
      <c r="R251" s="96" t="str">
        <f>IF(FN_MC!Q236="","*",CONCATENATE(FN_MC!Q236," ",FN_MC!R236))</f>
        <v>1 BINÁRIO</v>
      </c>
      <c r="S251" s="96" t="str">
        <f>IF(FN_MC!V236="","*",FN_MC!V236)</f>
        <v>Fernanda</v>
      </c>
      <c r="T251" s="96" t="str">
        <f>IF(FN_MC!W236="","*",FN_MC!W236)</f>
        <v>Inspeção RIV</v>
      </c>
      <c r="U251" s="98">
        <f ca="1">_xlfn.XLOOKUP(G251&amp;$U$3,BS_CONTROLE[CHAVE],BS_CONTROLE[Quantidade_11],"-")</f>
        <v>0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Oportunidade</v>
      </c>
      <c r="C253" s="95" t="str">
        <f>IF(FN_MC!Z238="","*",FN_MC!Z238)</f>
        <v>*</v>
      </c>
      <c r="D253" s="96" t="str">
        <f>IF(FN_MC!S238="","*",FN_MC!S238)</f>
        <v>MALHA CENTRAL</v>
      </c>
      <c r="E253" s="96" t="str">
        <f>IF(FN_MC!T238="","*",FN_MC!T238)</f>
        <v>RAMAL</v>
      </c>
      <c r="F253" s="96">
        <f>IF(FN_MC!B238="","*",FN_MC!B238)</f>
        <v>46073</v>
      </c>
      <c r="G253" s="96" t="str">
        <f>IF(FN_MC!D238="","*",FN_MC!D238)</f>
        <v>E18</v>
      </c>
      <c r="H253" s="96" t="str">
        <f>IF(FN_MC!F238="","*",FN_MC!F238)</f>
        <v>CAMINHÃO DE SOLDA</v>
      </c>
      <c r="I253" s="96" t="str">
        <f>IF(FN_MC!H238="","*",FN_MC!H238)</f>
        <v>ZIQZQY</v>
      </c>
      <c r="J253" s="96" t="str">
        <f>IF(FN_MC!I238="","*",FN_MC!I238)</f>
        <v>-</v>
      </c>
      <c r="K253" s="96" t="str">
        <f>IF(FN_MC!M238="","*",FN_MC!M238)</f>
        <v>ZIQ-ZQY</v>
      </c>
      <c r="L253" s="186" t="str">
        <f>IF(FN_MC!N238="","*",FN_MC!N238)</f>
        <v>ZIQZQY</v>
      </c>
      <c r="M253" s="97">
        <f>IF(FN_MC!J238="","*",FN_MC!J238)</f>
        <v>78</v>
      </c>
      <c r="N253" s="173">
        <f>IF(FN_MC!K238="","*",FN_MC!K238)</f>
        <v>176.7</v>
      </c>
      <c r="O253" s="173" t="str">
        <f>IF(FN_MC!L238="","*",FN_MC!L238)</f>
        <v>-</v>
      </c>
      <c r="P253" s="107">
        <f>IF(FN_MC!O238="","*",FN_MC!O238)</f>
        <v>0.35416666666666669</v>
      </c>
      <c r="Q253" s="107">
        <f>IF(FN_MC!P238="","*",FN_MC!P238)</f>
        <v>0.125</v>
      </c>
      <c r="R253" s="96" t="str">
        <f>IF(FN_MC!Q238="","*",CONCATENATE(FN_MC!Q238," ",FN_MC!R238))</f>
        <v>3 Nº DE SOLDA</v>
      </c>
      <c r="S253" s="96" t="str">
        <f>IF(FN_MC!V238="","*",FN_MC!V238)</f>
        <v>Higor</v>
      </c>
      <c r="T253" s="96" t="str">
        <f>IF(FN_MC!W238="","*",FN_MC!W238)</f>
        <v>Caminhão de solda</v>
      </c>
      <c r="U253" s="98">
        <f ca="1">_xlfn.XLOOKUP(G253&amp;$U$3,BS_CONTROLE[CHAVE],BS_CONTROLE[Quantidade_11],"-")</f>
        <v>5</v>
      </c>
      <c r="V253" s="98">
        <f ca="1">_xlfn.XLOOKUP(G253&amp;$V$3,BS_CONTROLE[CHAVE],BS_CONTROLE[Quantidade_11],"-")</f>
        <v>0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1730</v>
      </c>
      <c r="C4" s="181" t="s">
        <v>1731</v>
      </c>
      <c r="D4" s="181" t="s">
        <v>1732</v>
      </c>
      <c r="E4" s="181" t="s">
        <v>1733</v>
      </c>
      <c r="F4" s="181" t="s">
        <v>4</v>
      </c>
      <c r="G4" s="181" t="s">
        <v>1734</v>
      </c>
    </row>
    <row r="5" spans="2:7">
      <c r="B5" s="182" t="s">
        <v>1735</v>
      </c>
      <c r="C5" s="182">
        <v>309525</v>
      </c>
      <c r="D5" s="182" t="s">
        <v>1736</v>
      </c>
      <c r="E5" s="182" t="s">
        <v>878</v>
      </c>
      <c r="F5" s="182" t="s">
        <v>1737</v>
      </c>
      <c r="G5" s="183">
        <v>46296</v>
      </c>
    </row>
    <row r="6" spans="2:7">
      <c r="B6" s="182" t="s">
        <v>1738</v>
      </c>
      <c r="C6" s="182">
        <v>257410</v>
      </c>
      <c r="D6" s="182" t="s">
        <v>1739</v>
      </c>
      <c r="E6" s="182" t="s">
        <v>878</v>
      </c>
      <c r="F6" s="182" t="s">
        <v>1737</v>
      </c>
      <c r="G6" s="183"/>
    </row>
    <row r="7" spans="2:7">
      <c r="B7" s="182" t="s">
        <v>1484</v>
      </c>
      <c r="C7" s="182">
        <v>256875</v>
      </c>
      <c r="D7" s="182" t="s">
        <v>1740</v>
      </c>
      <c r="E7" s="182" t="s">
        <v>878</v>
      </c>
      <c r="F7" s="182" t="s">
        <v>1737</v>
      </c>
      <c r="G7" s="183">
        <v>46296</v>
      </c>
    </row>
    <row r="8" spans="2:7">
      <c r="B8" s="182" t="s">
        <v>1741</v>
      </c>
      <c r="C8" s="182">
        <v>257278</v>
      </c>
      <c r="D8" s="182" t="s">
        <v>1742</v>
      </c>
      <c r="E8" s="182" t="s">
        <v>869</v>
      </c>
      <c r="F8" s="182" t="s">
        <v>1743</v>
      </c>
      <c r="G8" s="183">
        <v>46235</v>
      </c>
    </row>
    <row r="9" spans="2:7">
      <c r="B9" s="182" t="s">
        <v>1744</v>
      </c>
      <c r="C9" s="182">
        <v>261794</v>
      </c>
      <c r="D9" s="182" t="s">
        <v>1745</v>
      </c>
      <c r="E9" s="182" t="s">
        <v>869</v>
      </c>
      <c r="F9" s="182" t="s">
        <v>1743</v>
      </c>
      <c r="G9" s="183">
        <v>46082</v>
      </c>
    </row>
    <row r="10" spans="2:7">
      <c r="B10" s="182" t="s">
        <v>1746</v>
      </c>
      <c r="C10" s="182">
        <v>257033</v>
      </c>
      <c r="D10" s="182" t="s">
        <v>1747</v>
      </c>
      <c r="E10" s="182" t="s">
        <v>869</v>
      </c>
      <c r="F10" s="182" t="s">
        <v>118</v>
      </c>
      <c r="G10" s="182" t="s">
        <v>1748</v>
      </c>
    </row>
    <row r="11" spans="2:7">
      <c r="B11" s="182" t="s">
        <v>1749</v>
      </c>
      <c r="C11" s="182">
        <v>396578</v>
      </c>
      <c r="D11" s="182" t="s">
        <v>1750</v>
      </c>
      <c r="E11" s="182" t="s">
        <v>869</v>
      </c>
      <c r="F11" s="182" t="s">
        <v>118</v>
      </c>
      <c r="G11" s="182" t="s">
        <v>1748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1751</v>
      </c>
      <c r="D5" s="268"/>
      <c r="E5" s="268"/>
      <c r="F5" s="268"/>
      <c r="G5" s="268"/>
      <c r="H5" s="268"/>
      <c r="I5" s="268"/>
      <c r="J5" s="269"/>
      <c r="K5" s="270" t="s">
        <v>1752</v>
      </c>
      <c r="L5" s="271"/>
      <c r="M5" s="271"/>
      <c r="N5" s="271"/>
      <c r="O5" s="272" t="s">
        <v>1753</v>
      </c>
      <c r="P5" s="273"/>
      <c r="Q5" s="274"/>
    </row>
    <row r="6" spans="1:17" s="81" customFormat="1" ht="15.75" customHeight="1">
      <c r="A6" s="75" t="s">
        <v>1727</v>
      </c>
      <c r="B6" s="82" t="s">
        <v>1726</v>
      </c>
      <c r="C6" s="83" t="s">
        <v>1212</v>
      </c>
      <c r="D6" s="84" t="s">
        <v>1213</v>
      </c>
      <c r="E6" s="83" t="s">
        <v>1754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1755</v>
      </c>
      <c r="M6" s="116" t="s">
        <v>658</v>
      </c>
      <c r="N6" s="117" t="s">
        <v>1207</v>
      </c>
      <c r="O6" s="159" t="s">
        <v>1250</v>
      </c>
      <c r="P6" s="128"/>
      <c r="Q6" s="138" t="s">
        <v>1756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Contrato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499TGR2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>
        <f>IF(FN_MC!P225="","*",FN_MC!P225)</f>
        <v>8.3333333333333329E-2</v>
      </c>
      <c r="K258" s="118" t="str">
        <f>IF(FN_MC!AK225="","*",FN_MC!AK225)</f>
        <v>499TGR2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Contrato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>
        <f>IF(FN_MC!B228="","*",FN_MC!B228)</f>
        <v>46073</v>
      </c>
      <c r="B261" s="86" t="str">
        <f>IF(FN_MC!X228="","*",FN_MC!X228)</f>
        <v>Oportunidade</v>
      </c>
      <c r="C261" s="87" t="str">
        <f>IF(FN_MC!S228="","*",FN_MC!S228)</f>
        <v>FERRONORTE</v>
      </c>
      <c r="D261" s="87" t="str">
        <f>IF(FN_MC!T228="","*",FN_MC!T228)</f>
        <v>TMI-TCS</v>
      </c>
      <c r="E261" s="87" t="str">
        <f>IF(FN_MC!D228="","*",FN_MC!D228)</f>
        <v>V48</v>
      </c>
      <c r="F261" s="87" t="str">
        <f>IF(FN_MC!H228="","*",FN_MC!H228)</f>
        <v>TVI</v>
      </c>
      <c r="G261" s="87" t="str">
        <f>IF(FN_MC!M228="","*",FN_MC!M228)</f>
        <v>TVI-TJA</v>
      </c>
      <c r="H261" s="125">
        <f>IF(FN_MC!K228="","*",FN_MC!K228)</f>
        <v>237.4</v>
      </c>
      <c r="I261" s="110">
        <f>IF(FN_MC!O228="","*",FN_MC!O228)</f>
        <v>0.375</v>
      </c>
      <c r="J261" s="110">
        <f>IF(FN_MC!P228="","*",FN_MC!P228)</f>
        <v>8.3333333333333329E-2</v>
      </c>
      <c r="K261" s="118" t="str">
        <f>IF(FN_MC!AK228="","*",FN_MC!AK228)</f>
        <v>TVI</v>
      </c>
      <c r="L261" s="118" t="str">
        <f>IF(FN_MC!AM228="","*",FN_MC!AM228)</f>
        <v>TVI-TJA</v>
      </c>
      <c r="M261" s="118">
        <f>IF(FN_MC!AP228="","*",FN_MC!AP228)</f>
        <v>237.4</v>
      </c>
      <c r="N261" s="118" t="str">
        <f>IF(FN_MC!AM228="","*",FN_MC!AM228)</f>
        <v>TVI-TJA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>
        <f>IF(FN_MC!B230="","*",FN_MC!B230)</f>
        <v>46073</v>
      </c>
      <c r="B263" s="86" t="str">
        <f>IF(FN_MC!X230="","*",FN_MC!X230)</f>
        <v>Contrato</v>
      </c>
      <c r="C263" s="87" t="str">
        <f>IF(FN_MC!S230="","*",FN_MC!S230)</f>
        <v>FERRONORTE</v>
      </c>
      <c r="D263" s="87" t="str">
        <f>IF(FN_MC!T230="","*",FN_MC!T230)</f>
        <v>TMI-TCS</v>
      </c>
      <c r="E263" s="87" t="str">
        <f>IF(FN_MC!D230="","*",FN_MC!D230)</f>
        <v>W48</v>
      </c>
      <c r="F263" s="87" t="str">
        <f>IF(FN_MC!H230="","*",FN_MC!H230)</f>
        <v>TIN</v>
      </c>
      <c r="G263" s="87" t="str">
        <f>IF(FN_MC!M230="","*",FN_MC!M230)</f>
        <v>TSP-TIN</v>
      </c>
      <c r="H263" s="125">
        <f>IF(FN_MC!K230="","*",FN_MC!K230)</f>
        <v>104.3</v>
      </c>
      <c r="I263" s="110">
        <f>IF(FN_MC!O230="","*",FN_MC!O230)</f>
        <v>0.375</v>
      </c>
      <c r="J263" s="110">
        <f>IF(FN_MC!P230="","*",FN_MC!P230)</f>
        <v>0.16666666666666666</v>
      </c>
      <c r="K263" s="118" t="str">
        <f>IF(FN_MC!AK230="","*",FN_MC!AK230)</f>
        <v>TIN</v>
      </c>
      <c r="L263" s="118" t="str">
        <f>IF(FN_MC!AM230="","*",FN_MC!AM230)</f>
        <v>TSP-TIN</v>
      </c>
      <c r="M263" s="118">
        <f>IF(FN_MC!AP230="","*",FN_MC!AP230)</f>
        <v>104.3</v>
      </c>
      <c r="N263" s="118" t="str">
        <f>IF(FN_MC!AM230="","*",FN_MC!AM230)</f>
        <v>TSP-TIN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>
        <f>IF(FN_MC!B233="","*",FN_MC!B233)</f>
        <v>46073</v>
      </c>
      <c r="B266" s="86" t="str">
        <f>IF(FN_MC!X233="","*",FN_MC!X233)</f>
        <v>Oportunidade</v>
      </c>
      <c r="C266" s="87" t="str">
        <f>IF(FN_MC!S233="","*",FN_MC!S233)</f>
        <v>FERRONORTE</v>
      </c>
      <c r="D266" s="87" t="str">
        <f>IF(FN_MC!T233="","*",FN_MC!T233)</f>
        <v>TMI-TCS</v>
      </c>
      <c r="E266" s="87" t="str">
        <f>IF(FN_MC!D233="","*",FN_MC!D233)</f>
        <v>MARCOS (TF-520)</v>
      </c>
      <c r="F266" s="87" t="str">
        <f>IF(FN_MC!H233="","*",FN_MC!H233)</f>
        <v>K97TIN</v>
      </c>
      <c r="G266" s="87" t="str">
        <f>IF(FN_MC!M233="","*",FN_MC!M233)</f>
        <v>TSP-TIN</v>
      </c>
      <c r="H266" s="125">
        <f>IF(FN_MC!K233="","*",FN_MC!K233)</f>
        <v>97.64</v>
      </c>
      <c r="I266" s="110">
        <f>IF(FN_MC!O233="","*",FN_MC!O233)</f>
        <v>0.375</v>
      </c>
      <c r="J266" s="110">
        <f>IF(FN_MC!P233="","*",FN_MC!P233)</f>
        <v>0.125</v>
      </c>
      <c r="K266" s="118" t="str">
        <f>IF(FN_MC!AK233="","*",FN_MC!AK233)</f>
        <v>K97TIN</v>
      </c>
      <c r="L266" s="118" t="str">
        <f>IF(FN_MC!AM233="","*",FN_MC!AM233)</f>
        <v>TSP-TIN</v>
      </c>
      <c r="M266" s="118">
        <f>IF(FN_MC!AP233="","*",FN_MC!AP233)</f>
        <v>97.64</v>
      </c>
      <c r="N266" s="118" t="str">
        <f>IF(FN_MC!AM233="","*",FN_MC!AM233)</f>
        <v>TSP-TIN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>
        <f>IF(FN_MC!B235="","*",FN_MC!B235)</f>
        <v>46073</v>
      </c>
      <c r="B268" s="86" t="str">
        <f>IF(FN_MC!X235="","*",FN_MC!X235)</f>
        <v>Contrato</v>
      </c>
      <c r="C268" s="87" t="str">
        <f>IF(FN_MC!S235="","*",FN_MC!S235)</f>
        <v>FERRONORTE</v>
      </c>
      <c r="D268" s="87" t="str">
        <f>IF(FN_MC!T235="","*",FN_MC!T235)</f>
        <v>TMI-TCS</v>
      </c>
      <c r="E268" s="87" t="str">
        <f>IF(FN_MC!D235="","*",FN_MC!D235)</f>
        <v>W50</v>
      </c>
      <c r="F268" s="87" t="str">
        <f>IF(FN_MC!H235="","*",FN_MC!H235)</f>
        <v>TAP</v>
      </c>
      <c r="G268" s="87" t="str">
        <f>IF(FN_MC!M235="","*",FN_MC!M235)</f>
        <v>TAP-TLG</v>
      </c>
      <c r="H268" s="125">
        <f>IF(FN_MC!K235="","*",FN_MC!K235)</f>
        <v>37.5</v>
      </c>
      <c r="I268" s="110">
        <f>IF(FN_MC!O235="","*",FN_MC!O235)</f>
        <v>0.4375</v>
      </c>
      <c r="J268" s="110">
        <f>IF(FN_MC!P235="","*",FN_MC!P235)</f>
        <v>6.25E-2</v>
      </c>
      <c r="K268" s="118" t="str">
        <f>IF(FN_MC!AK235="","*",FN_MC!AK235)</f>
        <v>TAP</v>
      </c>
      <c r="L268" s="118" t="str">
        <f>IF(FN_MC!AM235="","*",FN_MC!AM235)</f>
        <v>TAP-TLG</v>
      </c>
      <c r="M268" s="118">
        <f>IF(FN_MC!AP235="","*",FN_MC!AP235)</f>
        <v>37.5</v>
      </c>
      <c r="N268" s="118" t="str">
        <f>IF(FN_MC!AM235="","*",FN_MC!AM235)</f>
        <v>TAP-TLG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>
        <f>IF(FN_MC!B236="","*",FN_MC!B236)</f>
        <v>46073</v>
      </c>
      <c r="B269" s="86" t="str">
        <f>IF(FN_MC!X236="","*",FN_MC!X236)</f>
        <v>Oportunidade</v>
      </c>
      <c r="C269" s="87" t="str">
        <f>IF(FN_MC!S236="","*",FN_MC!S236)</f>
        <v>MALHA CENTRAL</v>
      </c>
      <c r="D269" s="87" t="str">
        <f>IF(FN_MC!T236="","*",FN_MC!T236)</f>
        <v>PRV-POV</v>
      </c>
      <c r="E269" s="87" t="str">
        <f>IF(FN_MC!D236="","*",FN_MC!D236)</f>
        <v>V80</v>
      </c>
      <c r="F269" s="87" t="str">
        <f>IF(FN_MC!H236="","*",FN_MC!H236)</f>
        <v>PPR</v>
      </c>
      <c r="G269" s="87" t="str">
        <f>IF(FN_MC!M236="","*",FN_MC!M236)</f>
        <v>PQI-PPR</v>
      </c>
      <c r="H269" s="125">
        <f>IF(FN_MC!K236="","*",FN_MC!K236)</f>
        <v>1980</v>
      </c>
      <c r="I269" s="110">
        <f>IF(FN_MC!O236="","*",FN_MC!O236)</f>
        <v>0.41666666666666669</v>
      </c>
      <c r="J269" s="110">
        <f>IF(FN_MC!P236="","*",FN_MC!P236)</f>
        <v>4.1666666666666664E-2</v>
      </c>
      <c r="K269" s="118" t="str">
        <f>IF(FN_MC!AK236="","*",FN_MC!AK236)</f>
        <v>PPR</v>
      </c>
      <c r="L269" s="118" t="str">
        <f>IF(FN_MC!AM236="","*",FN_MC!AM236)</f>
        <v>PQI-PPR</v>
      </c>
      <c r="M269" s="118">
        <f>IF(FN_MC!AP236="","*",FN_MC!AP236)</f>
        <v>1980</v>
      </c>
      <c r="N269" s="118" t="str">
        <f>IF(FN_MC!AM236="","*",FN_MC!AM236)</f>
        <v>PQI-PPR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>
        <f>IF(FN_MC!B238="","*",FN_MC!B238)</f>
        <v>46073</v>
      </c>
      <c r="B271" s="86" t="str">
        <f>IF(FN_MC!X238="","*",FN_MC!X238)</f>
        <v>Oportunidade</v>
      </c>
      <c r="C271" s="87" t="str">
        <f>IF(FN_MC!S238="","*",FN_MC!S238)</f>
        <v>MALHA CENTRAL</v>
      </c>
      <c r="D271" s="87" t="str">
        <f>IF(FN_MC!T238="","*",FN_MC!T238)</f>
        <v>RAMAL</v>
      </c>
      <c r="E271" s="87" t="str">
        <f>IF(FN_MC!D238="","*",FN_MC!D238)</f>
        <v>E18</v>
      </c>
      <c r="F271" s="87" t="str">
        <f>IF(FN_MC!H238="","*",FN_MC!H238)</f>
        <v>ZIQZQY</v>
      </c>
      <c r="G271" s="87" t="str">
        <f>IF(FN_MC!M238="","*",FN_MC!M238)</f>
        <v>ZIQ-ZQY</v>
      </c>
      <c r="H271" s="125">
        <f>IF(FN_MC!K238="","*",FN_MC!K238)</f>
        <v>176.7</v>
      </c>
      <c r="I271" s="110">
        <f>IF(FN_MC!O238="","*",FN_MC!O238)</f>
        <v>0.35416666666666669</v>
      </c>
      <c r="J271" s="110">
        <f>IF(FN_MC!P238="","*",FN_MC!P238)</f>
        <v>0.125</v>
      </c>
      <c r="K271" s="118" t="str">
        <f>IF(FN_MC!AK238="","*",FN_MC!AK238)</f>
        <v>ZIQZQY</v>
      </c>
      <c r="L271" s="118" t="str">
        <f>IF(FN_MC!AM238="","*",FN_MC!AM238)</f>
        <v>ZIQ-ZQY</v>
      </c>
      <c r="M271" s="118">
        <f>IF(FN_MC!AP238="","*",FN_MC!AP238)</f>
        <v>176.7</v>
      </c>
      <c r="N271" s="118" t="str">
        <f>IF(FN_MC!AM238="","*",FN_MC!AM238)</f>
        <v>ZIQ-ZQY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