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586" documentId="8_{B6337239-1A00-434D-AAD0-422EA1FEB5AE}" xr6:coauthVersionLast="47" xr6:coauthVersionMax="47" xr10:uidLastSave="{C011E5C2-70C2-4751-B7AE-8F5A957083D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7" i="1" l="1"/>
  <c r="C107" i="1"/>
  <c r="G107" i="1"/>
  <c r="M107" i="1" a="1"/>
  <c r="M107" i="1"/>
  <c r="N107" i="1" a="1"/>
  <c r="N107" i="1"/>
  <c r="R107" i="1"/>
  <c r="S107" i="1" a="1"/>
  <c r="S107" i="1"/>
  <c r="T107" i="1" a="1"/>
  <c r="T107" i="1"/>
  <c r="U107" i="1"/>
  <c r="AI107" i="1"/>
  <c r="AJ107" i="1"/>
  <c r="AK107" i="1"/>
  <c r="AL107" i="1"/>
  <c r="AM107" i="1"/>
  <c r="AN107" i="1"/>
  <c r="AO107" i="1"/>
  <c r="AP107" i="1"/>
  <c r="AQ107" i="1"/>
  <c r="AY107" i="1"/>
  <c r="BB107" i="1"/>
  <c r="BC107" i="1" a="1"/>
  <c r="BC107" i="1"/>
  <c r="BD107" i="1" a="1"/>
  <c r="BD107" i="1"/>
  <c r="BE107" i="1"/>
  <c r="BF107" i="1"/>
  <c r="BR107" i="1"/>
  <c r="BS107" i="1"/>
  <c r="H110" i="1" a="1"/>
  <c r="H110" i="1" s="1"/>
  <c r="H109" i="1" a="1"/>
  <c r="H109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D78" i="16"/>
  <c r="E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8" i="16"/>
  <c r="L78" i="16"/>
  <c r="L79" i="16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K75" i="16"/>
  <c r="L75" i="16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6" i="16"/>
  <c r="L76" i="16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K77" i="16"/>
  <c r="L77" i="16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K79" i="16"/>
  <c r="R80" i="1"/>
  <c r="R79" i="16" s="1"/>
  <c r="S80" i="1" a="1"/>
  <c r="S80" i="1" s="1"/>
  <c r="D79" i="16" s="1"/>
  <c r="T80" i="1" a="1"/>
  <c r="T80" i="1" s="1"/>
  <c r="E79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80" i="16" s="1"/>
  <c r="N81" i="1" a="1"/>
  <c r="N81" i="1" s="1"/>
  <c r="L80" i="16" s="1"/>
  <c r="R81" i="1"/>
  <c r="R80" i="16" s="1"/>
  <c r="S81" i="1" a="1"/>
  <c r="S81" i="1" s="1"/>
  <c r="D80" i="16" s="1"/>
  <c r="T81" i="1" a="1"/>
  <c r="T81" i="1" s="1"/>
  <c r="E80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1" i="16" s="1"/>
  <c r="N82" i="1" a="1"/>
  <c r="N82" i="1" s="1"/>
  <c r="L81" i="16" s="1"/>
  <c r="R82" i="1"/>
  <c r="R81" i="16" s="1"/>
  <c r="S82" i="1" a="1"/>
  <c r="S82" i="1" s="1"/>
  <c r="D81" i="16" s="1"/>
  <c r="T82" i="1" a="1"/>
  <c r="T82" i="1" s="1"/>
  <c r="E81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2" i="16" s="1"/>
  <c r="N83" i="1" a="1"/>
  <c r="N83" i="1" s="1"/>
  <c r="L82" i="16" s="1"/>
  <c r="R83" i="1"/>
  <c r="R82" i="16" s="1"/>
  <c r="S83" i="1" a="1"/>
  <c r="S83" i="1" s="1"/>
  <c r="D82" i="16" s="1"/>
  <c r="T83" i="1" a="1"/>
  <c r="T83" i="1" s="1"/>
  <c r="E82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3" i="16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4" i="16" s="1"/>
  <c r="N85" i="1" a="1"/>
  <c r="N85" i="1" s="1"/>
  <c r="L84" i="16" s="1"/>
  <c r="R85" i="1"/>
  <c r="R84" i="16" s="1"/>
  <c r="S85" i="1" a="1"/>
  <c r="S85" i="1" s="1"/>
  <c r="D84" i="16" s="1"/>
  <c r="T85" i="1" a="1"/>
  <c r="T85" i="1" s="1"/>
  <c r="E84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5" i="16" s="1"/>
  <c r="N86" i="1" a="1"/>
  <c r="N86" i="1" s="1"/>
  <c r="L85" i="16" s="1"/>
  <c r="R86" i="1"/>
  <c r="S86" i="1" a="1"/>
  <c r="S86" i="1" s="1"/>
  <c r="D85" i="16" s="1"/>
  <c r="T86" i="1" a="1"/>
  <c r="T86" i="1" s="1"/>
  <c r="E85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6" i="16" s="1"/>
  <c r="L86" i="16"/>
  <c r="R87" i="1"/>
  <c r="R86" i="16" s="1"/>
  <c r="S87" i="1" a="1"/>
  <c r="S87" i="1" s="1"/>
  <c r="D86" i="16" s="1"/>
  <c r="T87" i="1" a="1"/>
  <c r="T87" i="1" s="1"/>
  <c r="E86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7" i="16" s="1"/>
  <c r="N88" i="1" a="1"/>
  <c r="N88" i="1" s="1"/>
  <c r="L87" i="16" s="1"/>
  <c r="R88" i="1"/>
  <c r="R87" i="16" s="1"/>
  <c r="S88" i="1" a="1"/>
  <c r="S88" i="1" s="1"/>
  <c r="D87" i="16" s="1"/>
  <c r="T88" i="1" a="1"/>
  <c r="T88" i="1" s="1"/>
  <c r="E87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8" i="16" s="1"/>
  <c r="N89" i="1" a="1"/>
  <c r="N89" i="1" s="1"/>
  <c r="L88" i="16" s="1"/>
  <c r="R89" i="1"/>
  <c r="S89" i="1" a="1"/>
  <c r="S89" i="1" s="1"/>
  <c r="D88" i="16" s="1"/>
  <c r="T89" i="1" a="1"/>
  <c r="T89" i="1" s="1"/>
  <c r="E88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9" i="16" s="1"/>
  <c r="N90" i="1" a="1"/>
  <c r="N90" i="1" s="1"/>
  <c r="L89" i="16" s="1"/>
  <c r="R90" i="1"/>
  <c r="S90" i="1" a="1"/>
  <c r="S90" i="1" s="1"/>
  <c r="D89" i="16" s="1"/>
  <c r="T90" i="1" a="1"/>
  <c r="T90" i="1" s="1"/>
  <c r="E89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90" i="16" s="1"/>
  <c r="N91" i="1" a="1"/>
  <c r="N91" i="1" s="1"/>
  <c r="L90" i="16" s="1"/>
  <c r="R91" i="1"/>
  <c r="S91" i="1" a="1"/>
  <c r="S91" i="1" s="1"/>
  <c r="D90" i="16" s="1"/>
  <c r="T91" i="1" a="1"/>
  <c r="T91" i="1" s="1"/>
  <c r="E90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1" i="16" s="1"/>
  <c r="N92" i="1" a="1"/>
  <c r="N92" i="1" s="1"/>
  <c r="L91" i="16" s="1"/>
  <c r="R92" i="1"/>
  <c r="R91" i="16" s="1"/>
  <c r="S92" i="1" a="1"/>
  <c r="S92" i="1" s="1"/>
  <c r="D91" i="16" s="1"/>
  <c r="T92" i="1" a="1"/>
  <c r="T92" i="1" s="1"/>
  <c r="E91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2" i="16" s="1"/>
  <c r="N93" i="1" a="1"/>
  <c r="N93" i="1" s="1"/>
  <c r="L92" i="16" s="1"/>
  <c r="R93" i="1"/>
  <c r="S93" i="1" a="1"/>
  <c r="S93" i="1" s="1"/>
  <c r="D92" i="16" s="1"/>
  <c r="T93" i="1" a="1"/>
  <c r="T93" i="1" s="1"/>
  <c r="E92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3" i="16" s="1"/>
  <c r="N94" i="1" a="1"/>
  <c r="N94" i="1" s="1"/>
  <c r="L93" i="16" s="1"/>
  <c r="R94" i="1"/>
  <c r="R93" i="16" s="1"/>
  <c r="S94" i="1" a="1"/>
  <c r="S94" i="1" s="1"/>
  <c r="D93" i="16" s="1"/>
  <c r="T94" i="1" a="1"/>
  <c r="T94" i="1" s="1"/>
  <c r="E93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4" i="16" s="1"/>
  <c r="N95" i="1" a="1"/>
  <c r="N95" i="1" s="1"/>
  <c r="L94" i="16" s="1"/>
  <c r="R95" i="1"/>
  <c r="S95" i="1" a="1"/>
  <c r="S95" i="1" s="1"/>
  <c r="D94" i="16" s="1"/>
  <c r="T95" i="1" a="1"/>
  <c r="T95" i="1" s="1"/>
  <c r="E94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5" i="16" s="1"/>
  <c r="N96" i="1" a="1"/>
  <c r="N96" i="1" s="1"/>
  <c r="L95" i="16" s="1"/>
  <c r="R96" i="1"/>
  <c r="R95" i="16" s="1"/>
  <c r="S96" i="1" a="1"/>
  <c r="S96" i="1" s="1"/>
  <c r="D95" i="16" s="1"/>
  <c r="T96" i="1" a="1"/>
  <c r="T96" i="1" s="1"/>
  <c r="E95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6" i="16" s="1"/>
  <c r="N97" i="1" a="1"/>
  <c r="N97" i="1" s="1"/>
  <c r="L96" i="16" s="1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7" i="16" s="1"/>
  <c r="N98" i="1" a="1"/>
  <c r="N98" i="1" s="1"/>
  <c r="L97" i="16" s="1"/>
  <c r="R98" i="1"/>
  <c r="R97" i="16" s="1"/>
  <c r="S98" i="1" a="1"/>
  <c r="S98" i="1" s="1"/>
  <c r="D97" i="16" s="1"/>
  <c r="T98" i="1" a="1"/>
  <c r="T98" i="1" s="1"/>
  <c r="E97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8" i="16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9" i="16" s="1"/>
  <c r="N100" i="1" a="1"/>
  <c r="N100" i="1" s="1"/>
  <c r="L99" i="16" s="1"/>
  <c r="R100" i="1"/>
  <c r="R99" i="16" s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0" i="16" s="1"/>
  <c r="N101" i="1" a="1"/>
  <c r="N101" i="1" s="1"/>
  <c r="L100" i="16" s="1"/>
  <c r="R101" i="1"/>
  <c r="R100" i="16" s="1"/>
  <c r="S101" i="1" a="1"/>
  <c r="S101" i="1" s="1"/>
  <c r="D100" i="16" s="1"/>
  <c r="T101" i="1" a="1"/>
  <c r="T101" i="1" s="1"/>
  <c r="E100" i="16" s="1"/>
  <c r="AI101" i="1"/>
  <c r="BB101" i="1" s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1" i="16" s="1"/>
  <c r="N102" i="1" a="1"/>
  <c r="N102" i="1" s="1"/>
  <c r="L101" i="16" s="1"/>
  <c r="R102" i="1"/>
  <c r="R101" i="16" s="1"/>
  <c r="S102" i="1" a="1"/>
  <c r="S102" i="1" s="1"/>
  <c r="D101" i="16" s="1"/>
  <c r="T102" i="1" a="1"/>
  <c r="T102" i="1" s="1"/>
  <c r="E101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2" i="16" s="1"/>
  <c r="L102" i="16"/>
  <c r="R103" i="1"/>
  <c r="R102" i="16" s="1"/>
  <c r="S103" i="1" a="1"/>
  <c r="S103" i="1" s="1"/>
  <c r="D102" i="16" s="1"/>
  <c r="T103" i="1" a="1"/>
  <c r="T103" i="1" s="1"/>
  <c r="E102" i="16" s="1"/>
  <c r="AI103" i="1"/>
  <c r="BB103" i="1" s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3" i="16"/>
  <c r="L103" i="16"/>
  <c r="R104" i="1"/>
  <c r="R103" i="16" s="1"/>
  <c r="S104" i="1" a="1"/>
  <c r="S104" i="1" s="1"/>
  <c r="D103" i="16" s="1"/>
  <c r="T104" i="1" a="1"/>
  <c r="T104" i="1" s="1"/>
  <c r="E103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4" i="16" s="1"/>
  <c r="N105" i="1" a="1"/>
  <c r="N105" i="1" s="1"/>
  <c r="L104" i="16" s="1"/>
  <c r="R105" i="1"/>
  <c r="R104" i="16" s="1"/>
  <c r="S105" i="1" a="1"/>
  <c r="S105" i="1" s="1"/>
  <c r="D104" i="16" s="1"/>
  <c r="T105" i="1" a="1"/>
  <c r="T105" i="1" s="1"/>
  <c r="E104" i="16" s="1"/>
  <c r="AI105" i="1"/>
  <c r="BB105" i="1" s="1"/>
  <c r="AK105" i="1"/>
  <c r="K129" i="11" s="1"/>
  <c r="AL105" i="1"/>
  <c r="AO105" i="1"/>
  <c r="BE105" i="1" s="1"/>
  <c r="AP105" i="1"/>
  <c r="M129" i="11" s="1"/>
  <c r="BC105" i="1" a="1"/>
  <c r="BC105" i="1" s="1"/>
  <c r="BF105" i="1"/>
  <c r="BR105" i="1"/>
  <c r="BS105" i="1"/>
  <c r="BT105" i="1"/>
  <c r="A106" i="1"/>
  <c r="C106" i="1"/>
  <c r="G106" i="1"/>
  <c r="K105" i="16"/>
  <c r="L105" i="16"/>
  <c r="R106" i="1"/>
  <c r="R105" i="16" s="1"/>
  <c r="S106" i="1" a="1"/>
  <c r="S106" i="1" s="1"/>
  <c r="D105" i="16" s="1"/>
  <c r="T106" i="1" a="1"/>
  <c r="T106" i="1" s="1"/>
  <c r="E105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8" i="1"/>
  <c r="C108" i="1"/>
  <c r="G108" i="1"/>
  <c r="M108" i="1" a="1"/>
  <c r="M108" i="1" s="1"/>
  <c r="K106" i="16" s="1"/>
  <c r="N108" i="1" a="1"/>
  <c r="N108" i="1" s="1"/>
  <c r="L106" i="16" s="1"/>
  <c r="R108" i="1"/>
  <c r="R106" i="16" s="1"/>
  <c r="S108" i="1" a="1"/>
  <c r="S108" i="1" s="1"/>
  <c r="D106" i="16" s="1"/>
  <c r="T108" i="1" a="1"/>
  <c r="T108" i="1" s="1"/>
  <c r="E106" i="16" s="1"/>
  <c r="AI108" i="1"/>
  <c r="BB108" i="1" s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6" i="16" s="1"/>
  <c r="N778" i="1" a="1"/>
  <c r="N778" i="1" s="1"/>
  <c r="L776" i="16" s="1"/>
  <c r="R778" i="1"/>
  <c r="S778" i="1" a="1"/>
  <c r="S778" i="1" s="1"/>
  <c r="D776" i="16" s="1"/>
  <c r="T778" i="1" a="1"/>
  <c r="T778" i="1" s="1"/>
  <c r="E776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07" i="1" l="1"/>
  <c r="L74" i="16"/>
  <c r="AN76" i="1"/>
  <c r="L72" i="16"/>
  <c r="AN74" i="1"/>
  <c r="L64" i="16"/>
  <c r="AN66" i="1"/>
  <c r="L63" i="16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K66" i="16"/>
  <c r="AM68" i="1"/>
  <c r="K64" i="16"/>
  <c r="AM66" i="1"/>
  <c r="L71" i="16"/>
  <c r="AN73" i="1"/>
  <c r="K63" i="16"/>
  <c r="AM65" i="1"/>
  <c r="L62" i="16"/>
  <c r="AN64" i="1"/>
  <c r="L68" i="16"/>
  <c r="AN70" i="1"/>
  <c r="AM67" i="1"/>
  <c r="BB79" i="1"/>
  <c r="BD75" i="1" a="1"/>
  <c r="BD75" i="1" s="1"/>
  <c r="BD74" i="1" a="1"/>
  <c r="BD74" i="1" s="1"/>
  <c r="BB73" i="1"/>
  <c r="AJ105" i="1"/>
  <c r="AJ103" i="1"/>
  <c r="AJ101" i="1"/>
  <c r="BD73" i="1" a="1"/>
  <c r="BD73" i="1" s="1"/>
  <c r="BD70" i="1" a="1"/>
  <c r="BD70" i="1" s="1"/>
  <c r="BD61" i="1" a="1"/>
  <c r="BD61" i="1" s="1"/>
  <c r="AJ108" i="1"/>
  <c r="BQ200" i="1"/>
  <c r="BQ197" i="1"/>
  <c r="BQ194" i="1"/>
  <c r="BQ191" i="1"/>
  <c r="BQ188" i="1"/>
  <c r="AJ109" i="1"/>
  <c r="AJ98" i="1"/>
  <c r="AJ110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4" i="1"/>
  <c r="BD91" i="1" a="1"/>
  <c r="BD91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2" i="16"/>
  <c r="U42" i="16"/>
  <c r="U39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3" i="1" a="1"/>
  <c r="BD103" i="1" s="1"/>
  <c r="BD127" i="1" a="1"/>
  <c r="BD127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3" i="1" a="1"/>
  <c r="BD583" i="1" s="1"/>
  <c r="BD117" i="1" a="1"/>
  <c r="BD117" i="1" s="1"/>
  <c r="AN97" i="1"/>
  <c r="AN94" i="1"/>
  <c r="BD105" i="1" a="1"/>
  <c r="BD105" i="1" s="1"/>
  <c r="BD96" i="1" a="1"/>
  <c r="BD96" i="1" s="1"/>
  <c r="AN96" i="1"/>
  <c r="AN98" i="1"/>
  <c r="AN100" i="1"/>
  <c r="AN99" i="1"/>
  <c r="BD108" i="1" a="1"/>
  <c r="BD108" i="1" s="1"/>
  <c r="BD121" i="1" a="1"/>
  <c r="BD121" i="1" s="1"/>
  <c r="BD111" i="1" a="1"/>
  <c r="BD111" i="1" s="1"/>
  <c r="AN102" i="1"/>
  <c r="AN105" i="1"/>
  <c r="BD104" i="1" a="1"/>
  <c r="BD104" i="1" s="1"/>
  <c r="AN103" i="1"/>
  <c r="BD101" i="1" a="1"/>
  <c r="BD101" i="1" s="1"/>
  <c r="BD109" i="1" a="1"/>
  <c r="BD109" i="1" s="1"/>
  <c r="AN104" i="1"/>
  <c r="AN101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6" i="1" a="1"/>
  <c r="BD106" i="1" s="1"/>
  <c r="BD135" i="1" a="1"/>
  <c r="BD135" i="1" s="1"/>
  <c r="BD132" i="1" a="1"/>
  <c r="BD132" i="1" s="1"/>
  <c r="BD129" i="1" a="1"/>
  <c r="BD129" i="1" s="1"/>
  <c r="AN116" i="1"/>
  <c r="AN113" i="1"/>
  <c r="AN110" i="1"/>
  <c r="AN106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<sst xmlns="http://schemas.openxmlformats.org/spreadsheetml/2006/main" count="5468" uniqueCount="1550">
  <si>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</si>
  <si>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</si>
  <si>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</si>
  <si>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</si>
  <si>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</si>
  <si>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</si>
  <si>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</si>
  <si>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</si>
  <si>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</si>
  <si>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</si>
  <si>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</si>
  <si>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</si>
  <si>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</si>
  <si>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</si>
  <si>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</si>
  <si>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</si>
  <si>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</si>
  <si>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</si>
  <si>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</si>
  <si>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</si>
  <si>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</si>
  <si>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</si>
  <si>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</si>
  <si>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</si>
  <si>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</si>
  <si>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</si>
  <si>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</si>
  <si>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</si>
  <si>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</si>
  <si>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</si>
  <si>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</si>
  <si>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</si>
  <si>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</si>
  <si>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</si>
  <si>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</si>
  <si>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</si>
  <si>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</si>
  <si>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</si>
  <si>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</si>
  <si>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</si>
  <si>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</si>
  <si>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</si>
  <si>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</si>
  <si>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</si>
  <si>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</si>
  <si>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</si>
  <si>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</si>
  <si>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</si>
  <si>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</si>
  <si>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</si>
  <si>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</si>
  <si>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</si>
  <si>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</si>
  <si>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</si>
  <si>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</si>
  <si>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</si>
  <si>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</si>
  <si>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</si>
  <si>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</si>
  <si>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</si>
  <si>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</si>
  <si>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</si>
  <si>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</si>
  <si>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</si>
  <si>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</si>
  <si>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</si>
  <si>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</si>
  <si>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</si>
  <si>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</si>
  <si>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</si>
  <si>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</si>
  <si>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</si>
  <si>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</si>
  <si>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</si>
  <si>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</si>
  <si>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</si>
  <si>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</si>
  <si>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</si>
  <si>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</si>
  <si>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</si>
  <si>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</si>
  <si>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</si>
  <si>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</si>
  <si>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</si>
  <si>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</si>
  <si>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</si>
  <si>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</si>
  <si>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</si>
  <si>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</si>
  <si>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</si>
  <si>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</si>
  <si>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</si>
  <si>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</si>
  <si>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</si>
  <si>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</si>
  <si>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</si>
  <si>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</si>
  <si>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</si>
  <si>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</si>
  <si>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</si>
  <si>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</si>
  <si>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</si>
  <si>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</si>
  <si>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</si>
  <si>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</si>
  <si>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</si>
  <si>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</si>
  <si>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</si>
  <si>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</si>
  <si>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</si>
  <si>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</si>
  <si>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</si>
  <si>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</si>
  <si>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</si>
  <si>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</si>
  <si>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</si>
  <si>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</si>
  <si>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</si>
  <si>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</si>
  <si>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</si>
  <si>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</si>
  <si>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</si>
  <si>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</si>
  <si>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</si>
  <si>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</si>
  <si>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</si>
  <si>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</si>
  <si>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</si>
  <si>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</si>
  <si>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</si>
  <si>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</si>
  <si>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</si>
  <si>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</si>
  <si>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</si>
  <si>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</si>
  <si>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</si>
  <si>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</si>
  <si>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</si>
  <si>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</si>
  <si>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</si>
  <si>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</si>
  <si>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</si>
  <si>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</si>
  <si>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</si>
  <si>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</si>
  <si>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</si>
  <si>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</si>
  <si>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</si>
  <si>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</si>
  <si>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</si>
  <si>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</si>
  <si>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</si>
  <si>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</si>
  <si>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</si>
  <si>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</si>
  <si>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</si>
  <si>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</si>
  <si>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</si>
  <si>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</si>
  <si>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</si>
  <si>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</si>
  <si>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</si>
  <si>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</si>
  <si>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</si>
  <si>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</si>
  <si>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</si>
  <si>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</si>
  <si>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</si>
  <si>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</si>
  <si>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</si>
  <si>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</si>
  <si>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</si>
  <si>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</si>
  <si>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</si>
  <si>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</si>
  <si>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</si>
  <si>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</si>
  <si>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</si>
  <si>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</si>
  <si>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</si>
  <si>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</si>
  <si>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</si>
  <si>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</si>
  <si>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</si>
  <si>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</si>
  <si>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</si>
  <si>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</si>
  <si>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</si>
  <si>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</si>
  <si>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</si>
  <si>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</si>
  <si>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</si>
  <si>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</si>
  <si>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</si>
  <si>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</si>
  <si>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</si>
  <si>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</si>
  <si>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</si>
  <si>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</si>
  <si>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</si>
  <si>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</si>
  <si>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</si>
  <si>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</si>
  <si>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</si>
  <si>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</si>
  <si>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</si>
  <si>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</si>
  <si>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</si>
  <si>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</si>
  <si>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</si>
  <si>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</si>
  <si>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</si>
  <si>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</si>
  <si>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</si>
  <si>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</si>
  <si>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</si>
  <si>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</si>
  <si>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</si>
  <si>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</si>
  <si>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</si>
  <si>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</si>
  <si>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</si>
  <si>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</si>
  <si>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</si>
  <si>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</si>
  <si>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</si>
  <si>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</si>
  <si>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</si>
  <si>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</si>
  <si>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</si>
  <si>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</si>
  <si>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</si>
  <si>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</si>
  <si>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</si>
  <si>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</si>
  <si>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</si>
  <si>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</si>
  <si>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</si>
  <si>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</si>
  <si>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</si>
  <si>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</si>
  <si>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</si>
  <si>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</si>
  <si>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</si>
  <si>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</si>
  <si>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</si>
  <si>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</si>
  <si>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</si>
  <si>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</si>
  <si>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</si>
  <si>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</si>
  <si>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</si>
  <si>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</si>
  <si>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</si>
  <si>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</si>
  <si>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</si>
  <si>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</si>
  <si>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</si>
  <si>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</si>
  <si>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</si>
  <si>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</si>
  <si>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</si>
  <si>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</si>
  <si>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</si>
  <si>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</si>
  <si>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</si>
  <si>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</si>
  <si>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</si>
  <si>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</si>
  <si>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</si>
  <si>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</si>
  <si>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</si>
  <si>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</si>
  <si>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</si>
  <si>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</si>
  <si>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</si>
  <si>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</si>
  <si>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</si>
  <si>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</si>
  <si>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</si>
  <si>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</si>
  <si>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</si>
  <si>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</si>
  <si>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</si>
  <si>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</si>
  <si>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</si>
  <si>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</si>
  <si>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</si>
  <si>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</si>
  <si>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</si>
  <si>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</si>
  <si>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</si>
  <si>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</si>
  <si>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</si>
  <si>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</si>
  <si>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</si>
  <si>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</si>
  <si>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</si>
  <si>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</si>
  <si>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</si>
  <si>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</si>
  <si>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</si>
  <si>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</si>
  <si>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</si>
  <si>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</si>
  <si>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</si>
  <si>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</si>
  <si>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</si>
  <si>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</si>
  <si>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</si>
  <si>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</si>
  <si>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</si>
  <si>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</si>
  <si>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</si>
  <si>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</si>
  <si>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</si>
  <si>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</si>
  <si>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</si>
  <si>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</si>
  <si>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</si>
  <si>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</si>
  <si>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</si>
  <si>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</si>
  <si>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</si>
  <si>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</si>
  <si>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</si>
  <si>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</si>
  <si>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</si>
  <si>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</si>
  <si>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</si>
  <si>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</si>
  <si>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</si>
  <si>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</si>
  <si>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</si>
  <si>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</si>
  <si>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</si>
  <si>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</si>
  <si>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</si>
  <si>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</si>
  <si>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</si>
  <si>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</si>
  <si>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</si>
  <si>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</si>
  <si>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</si>
  <si>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</si>
  <si>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</si>
  <si>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</si>
  <si>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</si>
  <si>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</si>
  <si>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</si>
  <si>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</si>
  <si>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</si>
  <si>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</si>
  <si>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</si>
  <si>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</si>
  <si>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</si>
  <si>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</si>
  <si>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</si>
  <si>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</si>
  <si>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</si>
  <si>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</si>
  <si>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</si>
  <si>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</si>
  <si>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</si>
  <si>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</si>
  <si>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</si>
  <si>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</si>
  <si>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</si>
  <si>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</si>
  <si>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</si>
  <si>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</si>
  <si>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</si>
  <si>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</si>
  <si>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</si>
  <si>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</si>
  <si>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</si>
  <si>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</si>
  <si>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</si>
  <si>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</si>
  <si>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</si>
  <si>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</si>
  <si>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</si>
  <si>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</si>
  <si>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</si>
  <si>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</si>
  <si>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</si>
  <si>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</si>
  <si>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</si>
  <si>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</si>
  <si>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</si>
  <si>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</si>
  <si>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</si>
  <si>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</si>
  <si>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</si>
  <si>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</si>
  <si>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</si>
  <si>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</si>
  <si>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</si>
  <si>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</si>
  <si>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</si>
  <si>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</si>
  <si>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</si>
  <si>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</si>
  <si>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</si>
  <si>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</si>
  <si>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</si>
  <si>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</si>
  <si>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</si>
  <si>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</si>
  <si>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</si>
  <si>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</si>
  <si>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</si>
  <si>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</si>
  <si>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</si>
  <si>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</si>
  <si>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</si>
  <si>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</si>
  <si>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</si>
  <si>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</si>
  <si>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</si>
  <si>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</si>
  <si>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</si>
  <si>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</si>
  <si>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</si>
  <si>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</si>
  <si>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</si>
  <si>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</si>
  <si>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</si>
  <si>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</si>
  <si>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</si>
  <si>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</si>
  <si>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</si>
  <si>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</si>
  <si>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</si>
  <si>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</si>
  <si>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</si>
  <si>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</si>
  <si>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</si>
  <si>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</si>
  <si>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</si>
  <si>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</si>
  <si>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</si>
  <si>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</si>
  <si>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</si>
  <si>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</si>
  <si>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</si>
  <si>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</si>
  <si>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</si>
  <si>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</si>
  <si>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</si>
  <si>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</si>
  <si>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</si>
  <si>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</si>
  <si>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</si>
  <si>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</si>
  <si>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</si>
  <si>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</si>
  <si>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</si>
  <si>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</si>
  <si>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</si>
  <si>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</si>
  <si>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</si>
  <si>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</si>
  <si>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</si>
  <si>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</si>
  <si>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</si>
  <si>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</si>
  <si>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</si>
  <si>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</si>
  <si>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</si>
  <si>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</si>
  <si>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</si>
  <si>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</si>
  <si>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</si>
  <si>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</si>
  <si>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</si>
  <si>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</si>
  <si>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</si>
  <si>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</si>
  <si>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</si>
  <si>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</si>
  <si>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</si>
  <si>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</si>
  <si>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</si>
  <si>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</si>
  <si>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</si>
  <si>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</si>
  <si>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</si>
  <si>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</si>
  <si>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</si>
  <si>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</si>
  <si>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</si>
  <si>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</si>
  <si>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</si>
  <si>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</si>
  <si>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</si>
  <si>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</si>
  <si>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</si>
  <si>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</si>
  <si>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</si>
  <si>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</si>
  <si>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</si>
  <si>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</si>
  <si>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</si>
  <si>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</si>
  <si>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</si>
  <si>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</si>
  <si>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</si>
  <si>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</si>
  <si>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</si>
  <si>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</si>
  <si>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</si>
  <si>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</si>
  <si>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</si>
  <si>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</si>
  <si>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</si>
  <si>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</si>
  <si>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</si>
  <si>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</si>
  <si>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</si>
  <si>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</si>
  <si>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</si>
  <si>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</si>
  <si>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</si>
  <si>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</si>
  <si>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</si>
  <si>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</si>
  <si>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</si>
  <si>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</si>
  <si>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</si>
  <si>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</si>
  <si>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</si>
  <si>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</si>
  <si>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</si>
  <si>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</si>
  <si>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</si>
  <si>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</si>
  <si>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</si>
  <si>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</si>
  <si>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</si>
  <si>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</si>
  <si>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</si>
  <si>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</si>
  <si>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</si>
  <si>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</si>
  <si>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</si>
  <si>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</si>
  <si>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</si>
  <si>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</si>
  <si>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</si>
  <si>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</si>
  <si>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</si>
  <si>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</si>
  <si>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</si>
  <si>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</si>
  <si>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</si>
  <si>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</si>
  <si>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</si>
  <si>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</si>
  <si>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</si>
  <si>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</si>
  <si>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</si>
  <si>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</si>
  <si>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</si>
  <si>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</si>
  <si>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</si>
  <si>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</si>
  <si>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</si>
  <si>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</si>
  <si>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</si>
  <si>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</si>
  <si>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</si>
  <si>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</si>
  <si>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</si>
  <si>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</si>
  <si>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</si>
  <si>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</si>
  <si>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</si>
  <si>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</si>
  <si>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</si>
  <si>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</si>
  <si>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</si>
  <si>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</si>
  <si>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</si>
  <si>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</si>
  <si>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</si>
  <si>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</si>
  <si>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</si>
  <si>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</si>
  <si>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</si>
  <si>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</si>
  <si>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</si>
  <si>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</si>
  <si>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</si>
  <si>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</si>
  <si>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</si>
  <si>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</si>
  <si>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</si>
  <si>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</si>
  <si>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</si>
  <si>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</si>
  <si>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</si>
  <si>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</si>
  <si>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</si>
  <si>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</si>
  <si>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</si>
  <si>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</si>
  <si>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</si>
  <si>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</si>
  <si>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</si>
  <si>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</si>
  <si>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</si>
  <si>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</si>
  <si>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</si>
  <si>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</si>
  <si>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</si>
  <si>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</si>
  <si>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</si>
  <si>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</si>
  <si>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</si>
  <si>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</si>
  <si>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</si>
  <si>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</si>
  <si>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</si>
  <si>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</si>
  <si>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</si>
  <si>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</si>
  <si>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</si>
  <si>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</si>
  <si>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</si>
  <si>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</si>
  <si>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</si>
  <si>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</si>
  <si>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</si>
  <si>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</si>
  <si>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</si>
  <si>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</si>
  <si>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</si>
  <si>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</si>
  <si>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</si>
  <si>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</si>
  <si>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</si>
  <si>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</si>
  <si>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</si>
  <si>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</si>
  <si>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</si>
  <si>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</si>
  <si>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</si>
  <si>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</si>
  <si>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</si>
  <si>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</si>
  <si>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</si>
  <si>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</si>
  <si>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</si>
  <si>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</si>
  <si>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</si>
  <si>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</si>
  <si>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</si>
  <si>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</si>
  <si>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</si>
  <si>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</si>
  <si>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</si>
  <si>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</si>
  <si>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</si>
  <si>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</si>
  <si>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</si>
  <si>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</si>
  <si>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</si>
  <si>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</si>
  <si>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</si>
  <si>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</si>
  <si>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</si>
  <si>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</si>
  <si>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</si>
  <si>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</si>
  <si>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</si>
  <si>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</si>
  <si>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</si>
  <si>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</si>
  <si>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</si>
  <si>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</si>
  <si>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</si>
  <si>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</si>
  <si>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</si>
  <si>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</si>
  <si>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</si>
  <si>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</si>
  <si>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</si>
  <si>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</si>
  <si>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</si>
  <si>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</si>
  <si>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</si>
  <si>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</si>
  <si>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</si>
  <si>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</si>
  <si>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</si>
  <si>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</si>
  <si>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</si>
  <si>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</si>
  <si>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</si>
  <si>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</si>
  <si>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</si>
  <si>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</si>
  <si>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</si>
  <si>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</si>
  <si>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</si>
  <si>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</si>
  <si>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</si>
  <si>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</si>
  <si>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</si>
  <si>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</si>
  <si>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</si>
  <si>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</si>
  <si>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</si>
  <si>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</si>
  <si>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</si>
  <si>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</si>
  <si>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</si>
  <si>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</si>
  <si>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</si>
  <si>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</si>
  <si>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</si>
  <si>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</si>
  <si>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</si>
  <si>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</si>
  <si>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</si>
  <si>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</si>
  <si>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</si>
  <si>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</si>
  <si>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</si>
  <si>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</si>
  <si>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</si>
  <si>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</si>
  <si>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</si>
  <si>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</si>
  <si>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</si>
  <si>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</si>
  <si>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</si>
  <si>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</si>
  <si>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</si>
  <si>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</si>
  <si>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</si>
  <si>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</si>
  <si>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</si>
  <si>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</si>
  <si>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</si>
  <si>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</si>
  <si>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</si>
  <si>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</si>
  <si>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</si>
  <si>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</si>
  <si>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</si>
  <si>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</si>
  <si>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</si>
  <si>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</si>
  <si>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</si>
  <si>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</si>
  <si>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</si>
  <si>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</si>
  <si>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</si>
  <si>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</si>
  <si>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</si>
  <si>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</si>
  <si>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</si>
  <si>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</si>
  <si>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</si>
  <si>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</si>
  <si>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</si>
  <si>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</si>
  <si>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</si>
  <si>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</si>
  <si>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</si>
  <si>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</si>
  <si>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</si>
  <si>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</si>
  <si>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</si>
  <si>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</si>
  <si>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</si>
  <si>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</si>
  <si>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</si>
  <si>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</si>
  <si>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</si>
  <si>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</si>
  <si>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</si>
  <si>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</si>
  <si>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</si>
  <si>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</si>
  <si>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</si>
  <si>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</si>
  <si>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</si>
  <si>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</si>
  <si>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</si>
  <si>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</si>
  <si>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</si>
  <si>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</si>
  <si>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</si>
  <si>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</si>
  <si>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</si>
  <si>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</si>
  <si>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</si>
  <si>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</si>
  <si>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</si>
  <si>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</si>
  <si>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</si>
  <si>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</si>
  <si>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</si>
  <si>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</si>
  <si>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</si>
  <si>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</si>
  <si>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</si>
  <si>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</si>
  <si>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</si>
  <si>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</si>
  <si>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</si>
  <si>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</si>
  <si>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</si>
  <si>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</si>
  <si>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</si>
  <si>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</si>
  <si>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</si>
  <si>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</si>
  <si>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</si>
  <si>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</si>
  <si>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</si>
  <si>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</si>
  <si>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</si>
  <si>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</si>
  <si>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</si>
  <si>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</si>
  <si>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</si>
  <si>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</si>
  <si>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</si>
  <si>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</si>
  <si>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</si>
  <si>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</si>
  <si>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</si>
  <si>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</si>
  <si>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</si>
  <si>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</si>
  <si>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</si>
  <si>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</si>
  <si>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</si>
  <si>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</si>
  <si>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</si>
  <si>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</si>
  <si>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</si>
  <si>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</si>
  <si>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</si>
  <si>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</si>
  <si>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</si>
  <si>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</si>
  <si>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</si>
  <si>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</si>
  <si>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</si>
  <si>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</si>
  <si>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</si>
  <si>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</si>
  <si>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</si>
  <si>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</si>
  <si>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</si>
  <si>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</si>
  <si>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</si>
  <si>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</si>
  <si>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</si>
  <si>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</si>
  <si>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</si>
  <si>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</si>
  <si>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</si>
  <si>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</si>
  <si>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</si>
  <si>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</si>
  <si>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</si>
  <si>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</si>
  <si>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</si>
  <si>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</si>
  <si>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</si>
  <si>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</si>
  <si>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</si>
  <si>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</si>
  <si>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</si>
  <si>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</si>
  <si>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</si>
  <si>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</si>
  <si>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</si>
  <si>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</si>
  <si>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</si>
  <si>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</si>
  <si>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</si>
  <si>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</si>
  <si>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</si>
  <si>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</si>
  <si>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</si>
  <si>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</si>
  <si>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</si>
  <si>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</si>
  <si>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</si>
  <si>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</si>
  <si>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</si>
  <si>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</si>
  <si>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</si>
  <si>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</si>
  <si>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</si>
  <si>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</si>
  <si>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</si>
  <si>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</si>
  <si>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</si>
  <si>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</si>
  <si>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</si>
  <si>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</si>
  <si>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</si>
  <si>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</si>
  <si>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</si>
  <si>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</si>
  <si>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</si>
  <si>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</si>
  <si>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</si>
  <si>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</si>
  <si>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</si>
  <si>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</si>
  <si>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</si>
  <si>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</si>
  <si>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</si>
  <si>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</si>
  <si>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</si>
  <si>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</si>
  <si>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</si>
  <si>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</si>
  <si>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</si>
  <si>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</si>
  <si>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</si>
  <si>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</si>
  <si>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</si>
  <si>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</si>
  <si>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</si>
  <si>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</si>
  <si>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</si>
  <si>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</si>
  <si>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</si>
  <si>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</si>
  <si>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</si>
  <si>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</si>
  <si>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</si>
  <si>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</si>
  <si>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</si>
  <si>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</si>
  <si>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</si>
  <si>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</si>
  <si>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</si>
  <si>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</si>
  <si>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</si>
  <si>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</si>
  <si>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</si>
  <si>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</si>
  <si>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</si>
  <si>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</si>
  <si>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</si>
  <si>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</si>
  <si>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</si>
  <si>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</si>
  <si>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</si>
  <si>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</si>
  <si>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</si>
  <si>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</si>
  <si>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</si>
  <si>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</si>
  <si>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</si>
  <si>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</si>
  <si>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</si>
  <si>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</si>
  <si>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</si>
  <si>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</si>
  <si>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</si>
  <si>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</si>
  <si>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</si>
  <si>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</si>
  <si>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</si>
  <si>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</si>
  <si>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</si>
  <si>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</si>
  <si>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</si>
  <si>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</si>
  <si>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</si>
  <si>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</si>
  <si>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</si>
  <si>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</si>
  <si>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</si>
  <si>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</si>
  <si>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</si>
  <si>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</si>
  <si>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</si>
  <si>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</si>
  <si>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</si>
  <si>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</si>
  <si>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</si>
  <si>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</si>
  <si>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</si>
  <si>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</si>
  <si>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</si>
  <si>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</si>
  <si>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</si>
  <si>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</si>
  <si>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</si>
  <si>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</si>
  <si>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</si>
  <si>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</si>
  <si>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</si>
  <si>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</si>
  <si>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</si>
  <si>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</si>
  <si>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</si>
  <si>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</si>
  <si>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</si>
  <si>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</si>
  <si>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</si>
  <si>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</si>
  <si>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</si>
  <si>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</si>
  <si>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</si>
  <si>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</si>
  <si>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</si>
  <si>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</si>
  <si>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</si>
  <si>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</si>
  <si>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</si>
  <si>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</si>
  <si>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</si>
  <si>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</si>
  <si>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</si>
  <si>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</si>
  <si>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</si>
  <si>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</si>
  <si>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</si>
  <si>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</si>
  <si>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</si>
  <si>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</si>
  <si>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</si>
  <si>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</si>
  <si>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</si>
  <si>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</si>
  <si>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</si>
  <si>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</si>
  <si>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</si>
  <si>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</si>
  <si>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</si>
  <si>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</si>
  <si>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</si>
  <si>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</si>
  <si>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</si>
  <si>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</si>
  <si>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</si>
  <si>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</si>
  <si>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</si>
  <si>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</si>
  <si>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</si>
  <si>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</si>
  <si>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</si>
  <si>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</si>
  <si>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</si>
  <si>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</si>
  <si>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</si>
  <si>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</si>
  <si>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</si>
  <si>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</si>
  <si>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</si>
  <si>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</si>
  <si>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</si>
  <si>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</si>
  <si>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</si>
  <si>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</si>
  <si>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</si>
  <si>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</si>
  <si>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</si>
  <si>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</si>
  <si>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</si>
  <si>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</si>
  <si>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</si>
  <si>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</si>
  <si>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</si>
  <si>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</si>
  <si>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</si>
  <si>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</si>
  <si>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</si>
  <si>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</si>
  <si>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</si>
  <si>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</si>
  <si>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</si>
  <si>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</si>
  <si>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</si>
  <si>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</si>
  <si>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</si>
  <si>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</si>
  <si>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</si>
  <si>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</si>
  <si>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</si>
  <si>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</si>
  <si>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</si>
  <si>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</si>
  <si>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</si>
  <si>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</si>
  <si>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</si>
  <si>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</si>
  <si>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</si>
  <si>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</si>
  <si>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</si>
  <si>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</si>
  <si>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</si>
  <si>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</si>
  <si>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</si>
  <si>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</si>
  <si>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</si>
  <si>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</si>
  <si>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</si>
  <si>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</si>
  <si>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</si>
  <si>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</si>
  <si>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</si>
  <si>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</si>
  <si>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</si>
  <si>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</si>
  <si>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</si>
  <si>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</si>
  <si>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</si>
  <si>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</si>
  <si>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</si>
  <si>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</si>
  <si>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</si>
  <si>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</si>
  <si>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</si>
  <si>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</si>
  <si>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</si>
  <si>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</si>
  <si>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</si>
  <si>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</si>
  <si>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</si>
  <si>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</si>
  <si>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</si>
  <si>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</si>
  <si>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</si>
  <si>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</si>
  <si>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</si>
  <si>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</si>
  <si>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</si>
  <si>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</si>
  <si>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</si>
  <si>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</si>
  <si>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</si>
  <si>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</si>
  <si>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</si>
  <si>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</si>
  <si>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</si>
  <si>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</si>
  <si>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</si>
  <si>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</si>
  <si>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</si>
  <si>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</si>
  <si>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</si>
  <si>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</si>
  <si>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</si>
  <si>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</si>
  <si>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</si>
  <si>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</si>
  <si>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</si>
  <si>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</si>
  <si>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</si>
  <si>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</si>
  <si>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</si>
  <si>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</si>
  <si>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</si>
  <si>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</si>
  <si>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</si>
  <si>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</si>
  <si>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</si>
  <si>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</si>
  <si>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</si>
  <si>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</si>
  <si>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</si>
  <si>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</si>
  <si>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</si>
  <si>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</si>
  <si>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</si>
  <si>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</si>
  <si>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</si>
  <si>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</si>
  <si>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</si>
  <si>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</si>
  <si>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</si>
  <si>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</si>
  <si>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</si>
  <si>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</si>
  <si>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</si>
  <si>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</si>
  <si>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</si>
  <si>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</si>
  <si>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</si>
  <si>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</si>
  <si>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</si>
  <si>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</si>
  <si>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</si>
  <si>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</si>
  <si>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</si>
  <si>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</si>
  <si>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</si>
  <si>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</si>
  <si>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</si>
  <si>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</si>
  <si>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</si>
  <si>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</si>
  <si>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</si>
  <si>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</si>
  <si>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</si>
  <si>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</si>
  <si>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</si>
  <si>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</si>
  <si>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</si>
  <si>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</si>
  <si>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</si>
  <si>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</si>
  <si>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</si>
  <si>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</si>
  <si>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</si>
  <si>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</si>
  <si>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</si>
  <si>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</si>
  <si>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</si>
  <si>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</si>
  <si>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</si>
  <si>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</si>
  <si>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</si>
  <si>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</si>
  <si>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</si>
  <si>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</si>
  <si>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</si>
  <si>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</si>
  <si>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</si>
  <si>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</si>
  <si>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</si>
  <si>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</si>
  <si>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</si>
  <si>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</si>
  <si>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</si>
  <si>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</si>
  <si>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</si>
  <si>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</si>
  <si>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</si>
  <si>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</si>
  <si>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</si>
  <si>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</si>
  <si>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</si>
  <si>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</si>
  <si>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</si>
  <si>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</si>
  <si>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</si>
  <si>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</si>
  <si>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</si>
  <si>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</si>
  <si>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</si>
  <si>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</si>
  <si>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</si>
  <si>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</si>
  <si>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</si>
  <si>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</si>
  <si>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</si>
  <si>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</si>
  <si>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</si>
  <si>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</si>
  <si>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</si>
  <si>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</si>
  <si>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</si>
  <si>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</si>
  <si>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</si>
  <si>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</si>
  <si>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</si>
  <si>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</si>
  <si>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</si>
  <si>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</si>
  <si>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</si>
  <si>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</si>
  <si>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</si>
  <si>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</si>
  <si>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</si>
  <si>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</si>
  <si>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</si>
  <si>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</si>
  <si>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</si>
  <si>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</si>
  <si>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</si>
  <si>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</si>
  <si>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</si>
  <si>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</si>
  <si>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</si>
  <si>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</si>
  <si>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</si>
  <si>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</si>
  <si>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</si>
  <si>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</si>
  <si>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</si>
  <si>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</si>
  <si>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</si>
  <si>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</si>
  <si>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</si>
  <si>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</si>
  <si>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</si>
  <si>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</si>
  <si>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</si>
  <si>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</si>
  <si>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</si>
  <si>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</si>
  <si>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</si>
  <si>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</si>
  <si>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</si>
  <si>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</si>
  <si>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</si>
  <si>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</si>
  <si>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</si>
  <si>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</si>
  <si>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</si>
  <si>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</si>
  <si>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</si>
  <si>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</si>
  <si>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</si>
  <si>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</si>
  <si>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</si>
  <si>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</si>
  <si>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</si>
  <si>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</si>
  <si>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</si>
  <si>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</si>
  <si>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</si>
  <si>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</si>
  <si>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</si>
  <si>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</si>
  <si>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</si>
  <si>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</si>
  <si>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</si>
  <si>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</si>
  <si>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</si>
  <si>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</si>
  <si>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</si>
  <si>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</si>
  <si>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</si>
  <si>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</si>
  <si>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</si>
  <si>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</si>
  <si>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</si>
  <si>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</si>
  <si>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</si>
  <si>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</si>
  <si>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</si>
  <si>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</si>
  <si>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</si>
  <si>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</si>
  <si>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</si>
  <si>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</si>
  <si>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</si>
  <si>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</si>
  <si>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</si>
  <si>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</si>
  <si>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</si>
  <si>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</si>
  <si>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</si>
  <si>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</si>
  <si>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</si>
  <si>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</si>
  <si>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</si>
  <si>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</si>
  <si>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</si>
  <si>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</si>
  <si>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</si>
  <si>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</si>
  <si>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</si>
  <si>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</si>
  <si>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</si>
  <si>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</si>
  <si>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</si>
  <si>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</si>
  <si>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</si>
  <si>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</si>
  <si>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</si>
  <si>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</si>
  <si>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</si>
  <si>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</si>
  <si>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</si>
  <si>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</si>
  <si>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</si>
  <si>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</si>
  <si>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</si>
  <si>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</si>
  <si>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</si>
  <si>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</si>
  <si>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</si>
  <si>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</si>
  <si>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</si>
  <si>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</si>
  <si>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</si>
  <si>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</si>
  <si>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</si>
  <si>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</si>
  <si>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</si>
  <si>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</si>
  <si>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</si>
  <si>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</si>
  <si>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</si>
  <si>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</si>
  <si>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</si>
  <si>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</si>
  <si>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</si>
  <si>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</si>
  <si>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</si>
  <si>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</si>
  <si>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</si>
  <si>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</si>
  <si>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</si>
  <si>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</si>
  <si>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</si>
  <si>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</si>
  <si>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</si>
  <si>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</si>
  <si>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</si>
  <si>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</si>
  <si>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</si>
  <si>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</si>
  <si>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</si>
  <si>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</si>
  <si>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</si>
  <si>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</si>
  <si>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</si>
  <si>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</si>
  <si>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</si>
  <si>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</si>
  <si>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</si>
  <si>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</si>
  <si>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</si>
  <si>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</si>
  <si>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</si>
  <si>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</si>
  <si>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</si>
  <si>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</si>
  <si>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</si>
  <si>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</si>
  <si>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</si>
  <si>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</si>
  <si>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</si>
  <si>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</si>
  <si>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</si>
  <si>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</si>
  <si>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</si>
  <si>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</si>
  <si>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</si>
  <si>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</si>
  <si>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</si>
  <si>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</si>
  <si>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</si>
  <si>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</si>
  <si>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</si>
  <si>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</si>
  <si>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</si>
  <si>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</si>
  <si>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</si>
  <si>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</si>
  <si>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</si>
  <si>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</si>
  <si>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</si>
  <si>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</si>
  <si>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</si>
  <si>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</si>
  <si>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</si>
  <si>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</si>
  <si>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</si>
  <si>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</si>
  <si>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</si>
  <si>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</si>
  <si>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</si>
  <si>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</si>
  <si>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</si>
  <si>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</t>
  </si>
  <si>
    <t xml:space="preserve">Deslocamento para TIQ </t>
  </si>
  <si>
    <t>Aguardando descanso da equipe para iniciar o carregamento</t>
  </si>
  <si>
    <t>Em carregamento</t>
  </si>
  <si>
    <t xml:space="preserve"> no 565</t>
  </si>
  <si>
    <t>Equipe pronta as 07:45h aguardando temperatura-chuva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</si>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</sst>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G107" activePane="topRight" state="frozen"/>
      <selection pane="topRight" activeCell="D123" sqref="D12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0" t="s">
        <v>1171</v>
      </c>
      <c r="AJ1" s="241"/>
      <c r="AK1" s="241"/>
      <c r="AL1" s="241"/>
      <c r="AM1" s="241"/>
      <c r="AN1" s="241"/>
      <c r="AO1" s="241"/>
      <c r="AP1" s="241"/>
      <c r="AQ1" s="241"/>
      <c r="AR1" s="242"/>
      <c r="AS1" s="242"/>
      <c r="AT1" s="242"/>
      <c r="AU1" s="242"/>
      <c r="AV1" s="242"/>
      <c r="AW1" s="242"/>
      <c r="AX1" s="241"/>
      <c r="AY1" s="241"/>
      <c r="AZ1" s="241"/>
      <c r="BA1" s="241"/>
      <c r="BB1" s="241"/>
      <c r="BC1" s="241"/>
      <c r="BD1" s="241"/>
      <c r="BE1" s="241"/>
      <c r="BF1" s="243"/>
      <c r="BG1" s="3"/>
      <c r="BH1" s="244" t="s">
        <v>1172</v>
      </c>
      <c r="BI1" s="245"/>
      <c r="BJ1" s="246"/>
      <c r="BK1" s="247"/>
      <c r="BL1" s="43"/>
      <c r="BM1" s="237" t="s">
        <v>1173</v>
      </c>
      <c r="BN1" s="238"/>
      <c r="BO1" s="238"/>
      <c r="BP1" s="238"/>
      <c r="BQ1" s="238"/>
      <c r="BR1" s="238"/>
      <c r="BS1" s="239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0" t="s">
        <v>1174</v>
      </c>
      <c r="AJ2" s="241"/>
      <c r="AK2" s="241"/>
      <c r="AL2" s="241"/>
      <c r="AM2" s="241"/>
      <c r="AN2" s="241"/>
      <c r="AO2" s="241"/>
      <c r="AP2" s="241"/>
      <c r="AQ2" s="243"/>
      <c r="AR2" s="159"/>
      <c r="AS2" s="255" t="s">
        <v>1177</v>
      </c>
      <c r="AT2" s="242"/>
      <c r="AU2" s="242"/>
      <c r="AV2" s="242"/>
      <c r="AW2" s="242"/>
      <c r="AX2" s="241"/>
      <c r="AY2" s="243"/>
      <c r="AZ2" s="4"/>
      <c r="BA2" s="234" t="s">
        <v>1178</v>
      </c>
      <c r="BB2" s="236"/>
      <c r="BC2" s="240" t="s">
        <v>1175</v>
      </c>
      <c r="BD2" s="241"/>
      <c r="BE2" s="241"/>
      <c r="BF2" s="243"/>
      <c r="BG2" s="3"/>
      <c r="BH2" s="248"/>
      <c r="BI2" s="249"/>
      <c r="BJ2" s="250"/>
      <c r="BK2" s="251"/>
      <c r="BL2" s="43"/>
      <c r="BM2" s="252"/>
      <c r="BN2" s="253"/>
      <c r="BO2" s="253"/>
      <c r="BP2" s="253"/>
      <c r="BQ2" s="253"/>
      <c r="BR2" s="253"/>
      <c r="BS2" s="25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4" t="s">
        <v>1179</v>
      </c>
      <c r="AJ3" s="236"/>
      <c r="AK3" s="234" t="s">
        <v>1180</v>
      </c>
      <c r="AL3" s="235"/>
      <c r="AM3" s="235"/>
      <c r="AN3" s="235"/>
      <c r="AO3" s="235"/>
      <c r="AP3" s="235"/>
      <c r="AQ3" s="236"/>
      <c r="AR3" s="160"/>
      <c r="AS3" s="258" t="s">
        <v>1186</v>
      </c>
      <c r="AT3" s="259"/>
      <c r="AU3" s="258" t="s">
        <v>1187</v>
      </c>
      <c r="AV3" s="259"/>
      <c r="AW3" s="258" t="s">
        <v>1188</v>
      </c>
      <c r="AX3" s="260"/>
      <c r="AY3" s="57" t="s">
        <v>1189</v>
      </c>
      <c r="AZ3" s="57"/>
      <c r="BA3" s="256"/>
      <c r="BB3" s="257"/>
      <c r="BC3" s="234" t="s">
        <v>1182</v>
      </c>
      <c r="BD3" s="235"/>
      <c r="BE3" s="235"/>
      <c r="BF3" s="236"/>
      <c r="BG3" s="56"/>
      <c r="BH3" s="248"/>
      <c r="BI3" s="249"/>
      <c r="BJ3" s="250"/>
      <c r="BK3" s="251"/>
      <c r="BL3" s="43"/>
      <c r="BM3" s="237" t="s">
        <v>1190</v>
      </c>
      <c r="BN3" s="238"/>
      <c r="BO3" s="238"/>
      <c r="BP3" s="239"/>
      <c r="BQ3" s="237" t="s">
        <v>160</v>
      </c>
      <c r="BR3" s="238"/>
      <c r="BS3" s="239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IF(D100="","*",IFERROR(IF(ISODD(COUNT(AS100:AX102)),"ERRO",SUM((AT100-AS100),(AV100-AU100),(AX100-AW100))),"ERRO"))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649</v>
      </c>
      <c r="I101" s="135" t="s">
        <v>605</v>
      </c>
      <c r="J101" s="151">
        <v>98</v>
      </c>
      <c r="K101" s="151">
        <v>665.9</v>
      </c>
      <c r="L101" s="71">
        <v>664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1" s="135">
        <v>0.4375</v>
      </c>
      <c r="P101" s="135">
        <v>0.125</v>
      </c>
      <c r="Q101" s="71">
        <v>1560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BASE_MAPA!$B$2:$B$420, BASE_MAPA!$G$2:$G$420), "ERRO")</f>
        <v>ALTO ARAGUAIA - RONDONOPOLIS</v>
      </c>
      <c r="V101" s="143" t="s">
        <v>1272</v>
      </c>
      <c r="W101" s="135" t="s">
        <v>1273</v>
      </c>
      <c r="X101" s="152" t="s">
        <v>1000</v>
      </c>
      <c r="Y101" s="129" t="s">
        <v>999</v>
      </c>
      <c r="Z101" s="129"/>
      <c r="AA101" s="71">
        <v>1</v>
      </c>
      <c r="AB101" s="59" t="s">
        <v>997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TBS-TAL</v>
      </c>
      <c r="AN101" s="175" t="str">
        <f>IF(BS_CONTROLE[[#This Row],[SB]]=0, "-", BS_CONTROLE[[#This Row],[SB]])</f>
        <v>TBS671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665.9</v>
      </c>
      <c r="AQ101" s="177">
        <f>IF(BS_CONTROLE[[#This Row],[KM - Fim]]=0, "-", BS_CONTROLE[[#This Row],[KM - Fim]])</f>
        <v>664</v>
      </c>
      <c r="AR101" s="32">
        <v>0.37361111111111112</v>
      </c>
      <c r="AS101" s="32">
        <v>0</v>
      </c>
      <c r="AT101" s="32">
        <v>0</v>
      </c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>
        <v>0</v>
      </c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>
        <v>0</v>
      </c>
      <c r="BI101" s="14"/>
      <c r="BJ101" s="14" t="s">
        <v>1469</v>
      </c>
      <c r="BK101" s="14" t="s">
        <v>1470</v>
      </c>
      <c r="BL101" s="13"/>
      <c r="BM101" s="12" t="s">
        <v>1024</v>
      </c>
      <c r="BN101" s="12" t="s">
        <v>1045</v>
      </c>
      <c r="BO101" s="130" t="s">
        <v>1155</v>
      </c>
      <c r="BP101" s="14"/>
      <c r="BQ101" s="10" t="str">
        <f t="shared" si="8"/>
        <v>Produção e Intervalo</v>
      </c>
      <c r="BR101" s="15">
        <f t="shared" si="9"/>
        <v>0</v>
      </c>
      <c r="BS101" s="15">
        <f t="shared" si="10"/>
        <v>0</v>
      </c>
      <c r="BT101" s="157" t="str">
        <f t="shared" si="11"/>
        <v>CCOCirculaçãoIntervaloContrato</v>
      </c>
    </row>
    <row r="102" spans="1:72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1310</v>
      </c>
      <c r="W102" s="135" t="s">
        <v>1299</v>
      </c>
      <c r="X102" s="152" t="s">
        <v>1005</v>
      </c>
      <c r="Y102" s="129" t="s">
        <v>1008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>
        <v>0.45833333333333331</v>
      </c>
      <c r="AS102" s="32">
        <v>0.49305555555555558</v>
      </c>
      <c r="AT102" s="32">
        <v>0.53472222222222221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4.166666666666663E-2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>
        <v>1</v>
      </c>
      <c r="BI102" s="14"/>
      <c r="BJ102" s="14" t="s">
        <v>1471</v>
      </c>
      <c r="BK102" s="14" t="s">
        <v>1472</v>
      </c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0.99999999999999911</v>
      </c>
      <c r="BS102" s="15">
        <f t="shared" si="10"/>
        <v>0</v>
      </c>
      <c r="BT102" s="157" t="str">
        <f t="shared" si="11"/>
        <v/>
      </c>
    </row>
    <row r="103" spans="1:72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1428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1314</v>
      </c>
      <c r="W103" s="135" t="s">
        <v>1315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>
        <v>0.30972222222222223</v>
      </c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 t="s">
        <v>1473</v>
      </c>
      <c r="BK103" s="14" t="s">
        <v>1474</v>
      </c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574</v>
      </c>
      <c r="I104" s="135" t="s">
        <v>619</v>
      </c>
      <c r="J104" s="151">
        <v>98</v>
      </c>
      <c r="K104" s="151">
        <v>502</v>
      </c>
      <c r="L104" s="71" t="s">
        <v>11</v>
      </c>
      <c r="M104" s="149" t="s">
        <v>1261</v>
      </c>
      <c r="N104" s="149" t="s">
        <v>1262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1303</v>
      </c>
      <c r="W104" s="135" t="s">
        <v>1475</v>
      </c>
      <c r="X104" s="152" t="s">
        <v>1005</v>
      </c>
      <c r="Y104" s="129" t="s">
        <v>1008</v>
      </c>
      <c r="Z104" s="129"/>
      <c r="AA104" s="71">
        <v>2</v>
      </c>
      <c r="AB104" s="59" t="s">
        <v>997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ERRO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 t="s">
        <v>1476</v>
      </c>
      <c r="BK104" s="14" t="s">
        <v>1477</v>
      </c>
      <c r="BL104" s="13"/>
      <c r="BM104" s="12"/>
      <c r="BN104" s="12"/>
      <c r="BO104" s="130"/>
      <c r="BP104" s="14"/>
      <c r="BQ104" s="10" t="e">
        <f t="shared" si="8"/>
        <v>#VALUE!</v>
      </c>
      <c r="BR104" s="15" t="e">
        <f t="shared" si="9"/>
        <v>#VALUE!</v>
      </c>
      <c r="BS104" s="15">
        <f t="shared" si="10"/>
        <v>0</v>
      </c>
      <c r="BT104" s="157" t="str">
        <f t="shared" si="11"/>
        <v/>
      </c>
    </row>
    <row r="105" spans="1:72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1287</v>
      </c>
      <c r="W105" s="135" t="s">
        <v>1315</v>
      </c>
      <c r="X105" s="152" t="s">
        <v>1000</v>
      </c>
      <c r="Y105" s="129" t="s">
        <v>999</v>
      </c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">
        <v>1478</v>
      </c>
      <c r="AR105" s="32">
        <v>0.32291666666666669</v>
      </c>
      <c r="AS105" s="32"/>
      <c r="AT105" s="32"/>
      <c r="AU105" s="32"/>
      <c r="AV105" s="32"/>
      <c r="AW105" s="32"/>
      <c r="AX105" s="32"/>
      <c r="AY105" s="184" t="str">
        <f>IF(D105="","*",IFERROR(IF(ISODD(COUNT(AS105:AX108)),"ERRO",SUM((AT105-AS105),(AV105-AU105),(AX105-AW105))),"ERRO"))</f>
        <v>ERRO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>
        <v>0</v>
      </c>
      <c r="BI105" s="14"/>
      <c r="BJ105" s="14" t="s">
        <v>1479</v>
      </c>
      <c r="BK105" s="14" t="s">
        <v>1116</v>
      </c>
      <c r="BL105" s="13"/>
      <c r="BM105" s="12"/>
      <c r="BN105" s="12"/>
      <c r="BO105" s="130"/>
      <c r="BP105" s="14"/>
      <c r="BQ105" s="10" t="e">
        <f t="shared" si="8"/>
        <v>#VALUE!</v>
      </c>
      <c r="BR105" s="15" t="e">
        <f t="shared" si="9"/>
        <v>#VALUE!</v>
      </c>
      <c r="BS105" s="15">
        <f t="shared" si="10"/>
        <v>0</v>
      </c>
      <c r="BT105" s="157" t="str">
        <f t="shared" si="11"/>
        <v/>
      </c>
    </row>
    <row r="106" spans="1:72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479</v>
      </c>
      <c r="I106" s="135" t="s">
        <v>576</v>
      </c>
      <c r="J106" s="151">
        <v>74</v>
      </c>
      <c r="K106" s="151">
        <v>290.74</v>
      </c>
      <c r="L106" s="71" t="s">
        <v>11</v>
      </c>
      <c r="M106" s="149" t="s">
        <v>480</v>
      </c>
      <c r="N106" s="149" t="s">
        <v>1480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1481</v>
      </c>
      <c r="W106" s="135" t="s">
        <v>1482</v>
      </c>
      <c r="X106" s="152" t="s">
        <v>1000</v>
      </c>
      <c r="Y106" s="129" t="s">
        <v>999</v>
      </c>
      <c r="Z106" s="129"/>
      <c r="AA106" s="71">
        <v>1</v>
      </c>
      <c r="AB106" s="59" t="s">
        <v>997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>
        <v>0.34652777777777777</v>
      </c>
      <c r="AS106" s="32">
        <v>0.38611111111111113</v>
      </c>
      <c r="AT106" s="32"/>
      <c r="AU106" s="32"/>
      <c r="AV106" s="32"/>
      <c r="AW106" s="32"/>
      <c r="AX106" s="32"/>
      <c r="AY106" s="184" t="str">
        <f>IF(D106="","*",IFERROR(IF(ISODD(COUNT(AS106:AX109)),"ERRO",SUM((AT106-AS106),(AV106-AU106),(AX106-AW106))),"ERRO"))</f>
        <v>ERRO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>
        <v>1</v>
      </c>
      <c r="BI106" s="14"/>
      <c r="BJ106" s="14" t="s">
        <v>1483</v>
      </c>
      <c r="BK106" s="14" t="s">
        <v>1484</v>
      </c>
      <c r="BL106" s="13"/>
      <c r="BM106" s="12"/>
      <c r="BN106" s="12"/>
      <c r="BO106" s="130"/>
      <c r="BP106" s="14"/>
      <c r="BQ106" s="10" t="e">
        <f t="shared" si="8"/>
        <v>#VALUE!</v>
      </c>
      <c r="BR106" s="15" t="e">
        <f t="shared" si="9"/>
        <v>#VALUE!</v>
      </c>
      <c r="BS106" s="15">
        <f t="shared" si="10"/>
        <v>0</v>
      </c>
      <c r="BT106" s="157" t="str">
        <f t="shared" si="11"/>
        <v/>
      </c>
    </row>
    <row r="107" spans="1:72" ht="15" customHeight="1">
      <c r="A107" s="202" t="str">
        <f>D107&amp;B107</f>
        <v>V6646064</v>
      </c>
      <c r="B107" s="203">
        <v>46064</v>
      </c>
      <c r="C107" s="7">
        <f>IF(BS_CONTROLE[[#This Row],[DATA]]="","",WEEKNUM(BS_CONTROLE[[#This Row],[DATA]]))</f>
        <v>7</v>
      </c>
      <c r="D107" s="45" t="s">
        <v>192</v>
      </c>
      <c r="E107" s="185"/>
      <c r="F107" s="134" t="s">
        <v>235</v>
      </c>
      <c r="G107" s="8" t="str">
        <f>IF(D107="","*",VLOOKUP(F107,BS_ATIVIDADE[#All],3,FALSE))</f>
        <v>MODERNIZAÇÃO</v>
      </c>
      <c r="H107" s="135" t="s">
        <v>451</v>
      </c>
      <c r="I107" s="135" t="s">
        <v>451</v>
      </c>
      <c r="J107" s="151">
        <v>74</v>
      </c>
      <c r="K107" s="151">
        <v>174</v>
      </c>
      <c r="L107" s="71">
        <v>175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7" s="135">
        <v>0.375</v>
      </c>
      <c r="P107" s="135">
        <v>8.3333333333333329E-2</v>
      </c>
      <c r="Q107" s="71">
        <v>500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205" t="s">
        <v>1358</v>
      </c>
      <c r="W107" s="206" t="s">
        <v>1420</v>
      </c>
      <c r="X107" s="152" t="s">
        <v>1009</v>
      </c>
      <c r="Y107" s="129"/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6066</v>
      </c>
      <c r="AF107" s="71"/>
      <c r="AG107" s="71"/>
      <c r="AH107" s="42"/>
      <c r="AI107" s="119" t="str">
        <f>IF(BS_CONTROLE[[#This Row],[Atividade]]=0, "-", BS_CONTROLE[[#This Row],[Atividade]])</f>
        <v>MODERNIZAÇÃO - REGULAGEM</v>
      </c>
      <c r="AJ107" s="8" t="str">
        <f>IF(D107="","*",VLOOKUP(AI107,BS_ATIVIDADE[#Data],3,FALSE))</f>
        <v>MODERNIZAÇÃO</v>
      </c>
      <c r="AK107" s="207" t="str">
        <f>IF(BS_CONTROLE[[#This Row],[Local - Partida]]=0, "-", BS_CONTROLE[[#This Row],[Local - Partida]])</f>
        <v>TID2</v>
      </c>
      <c r="AL107" s="207" t="str">
        <f>IF(BS_CONTROLE[[#This Row],[Local - Encerramento]]=0, "-", BS_CONTROLE[[#This Row],[Local - Encerramento]])</f>
        <v>TID2</v>
      </c>
      <c r="AM107" s="207" t="str">
        <f>IF(BS_CONTROLE[[#This Row],[Entre - Estações]]=0, "-", BS_CONTROLE[[#This Row],[Entre - Estações]])</f>
        <v>TCE-TID</v>
      </c>
      <c r="AN107" s="207" t="str">
        <f>IF(BS_CONTROLE[[#This Row],[SB]]=0, "-", BS_CONTROLE[[#This Row],[SB]])</f>
        <v>TCE177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174</v>
      </c>
      <c r="AQ107" s="177">
        <f>IF(BS_CONTROLE[[#This Row],[KM - Fim]]=0, "-", BS_CONTROLE[[#This Row],[KM - Fim]])</f>
        <v>175</v>
      </c>
      <c r="AR107" s="208">
        <v>0.37430555555555556</v>
      </c>
      <c r="AS107" s="208"/>
      <c r="AT107" s="208"/>
      <c r="AU107" s="208"/>
      <c r="AV107" s="208"/>
      <c r="AW107" s="208"/>
      <c r="AX107" s="32"/>
      <c r="AY107" s="184">
        <f>IF(D107="","*",IFERROR(IF(ISODD(COUNT(AS107:AX109)),"ERRO",SUM((AT107-AS107),(AV107-AU107),(AX107-AW107))),"ERRO"))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>
        <v>1</v>
      </c>
      <c r="BI107" s="14"/>
      <c r="BJ107" s="233" t="s">
        <v>1485</v>
      </c>
      <c r="BK107" s="14" t="s">
        <v>1486</v>
      </c>
      <c r="BL107" s="13"/>
      <c r="BM107" s="12"/>
      <c r="BN107" s="12"/>
      <c r="BO107" s="130"/>
      <c r="BP107" s="14"/>
      <c r="BQ107" s="10" t="str">
        <f>IF(AND(BR107&lt;1,BS107&lt;1),"Produção e Intervalo",IF(BR107&lt;1,"Intervalo",IF(BS107&lt;1,"Produção","Aderente")))</f>
        <v>Produção e Intervalo</v>
      </c>
      <c r="BR107" s="15">
        <f>IF(OR(B107="",F107=""),"*",AY107/P107)</f>
        <v>0</v>
      </c>
      <c r="BS107" s="15">
        <f>IF(OR(B107="",F107=""),"*",BA107/Q107)</f>
        <v>0</v>
      </c>
      <c r="BT107" s="157"/>
    </row>
    <row r="108" spans="1:72">
      <c r="A108" s="44" t="str">
        <f t="shared" si="7"/>
        <v>W5046064</v>
      </c>
      <c r="B108" s="133">
        <v>46064</v>
      </c>
      <c r="C108" s="7">
        <f>IF(BS_CONTROLE[[#This Row],[DATA]]="","",WEEKNUM(BS_CONTROLE[[#This Row],[DATA]]))</f>
        <v>7</v>
      </c>
      <c r="D108" s="45" t="s">
        <v>240</v>
      </c>
      <c r="E108" s="185">
        <v>125</v>
      </c>
      <c r="F108" s="134" t="s">
        <v>140</v>
      </c>
      <c r="G108" s="8" t="str">
        <f>IF(D108="","*",VLOOKUP(F108,BS_ATIVIDADE[#All],3,FALSE))</f>
        <v>MODERNIZAÇÃO</v>
      </c>
      <c r="H108" s="135" t="s">
        <v>1487</v>
      </c>
      <c r="I108" s="135" t="s">
        <v>1487</v>
      </c>
      <c r="J108" s="151">
        <v>74</v>
      </c>
      <c r="K108" s="151">
        <v>250</v>
      </c>
      <c r="L108" s="71">
        <v>239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8" s="149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8" s="135">
        <v>0.375</v>
      </c>
      <c r="P108" s="135">
        <v>8.3333333333333329E-2</v>
      </c>
      <c r="Q108" s="71">
        <v>15</v>
      </c>
      <c r="R108" s="9" t="str">
        <f>IFERROR(_xlfn.XLOOKUP(F108, BS_ATIVIDADE[ATIVIDADE],BS_ATIVIDADE[UNIDADE] ), "*")</f>
        <v>VAGÕES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1358</v>
      </c>
      <c r="W108" s="135" t="s">
        <v>1304</v>
      </c>
      <c r="X108" s="152" t="s">
        <v>1005</v>
      </c>
      <c r="Y108" s="129" t="s">
        <v>1008</v>
      </c>
      <c r="Z108" s="129"/>
      <c r="AA108" s="71" t="s">
        <v>1329</v>
      </c>
      <c r="AB108" s="59" t="s">
        <v>997</v>
      </c>
      <c r="AC108" s="59"/>
      <c r="AD108" s="135">
        <v>0.29166666666666669</v>
      </c>
      <c r="AE108" s="71">
        <v>7671</v>
      </c>
      <c r="AF108" s="71">
        <v>9322</v>
      </c>
      <c r="AG108" s="71" t="s">
        <v>11</v>
      </c>
      <c r="AH108" s="42"/>
      <c r="AI108" s="119" t="str">
        <f>IF(BS_CONTROLE[[#This Row],[Atividade]]=0, "-", BS_CONTROLE[[#This Row],[Atividade]])</f>
        <v>MODERNIZAÇÃO - PEDRA - DESCARGA</v>
      </c>
      <c r="AJ108" s="8" t="str">
        <f>IF(D108="","*",VLOOKUP(AI108,BS_ATIVIDADE[#Data],3,FALSE))</f>
        <v>MODERNIZAÇÃO</v>
      </c>
      <c r="AK108" s="175" t="str">
        <f>IF(BS_CONTROLE[[#This Row],[Local - Partida]]=0, "-", BS_CONTROLE[[#This Row],[Local - Partida]])</f>
        <v xml:space="preserve">TCS2 </v>
      </c>
      <c r="AL108" s="175" t="str">
        <f>IF(BS_CONTROLE[[#This Row],[Local - Encerramento]]=0, "-", BS_CONTROLE[[#This Row],[Local - Encerramento]])</f>
        <v xml:space="preserve">TCS2 </v>
      </c>
      <c r="AM108" s="175" t="str">
        <f>IF(BS_CONTROLE[[#This Row],[Entre - Estações]]=0, "-", BS_CONTROLE[[#This Row],[Entre - Estações]])</f>
        <v>TVI-TJA</v>
      </c>
      <c r="AN108" s="175">
        <f>IF(BS_CONTROLE[[#This Row],[SB]]=0, "-", BS_CONTROLE[[#This Row],[SB]])</f>
        <v>239251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250</v>
      </c>
      <c r="AQ108" s="177">
        <f>IF(BS_CONTROLE[[#This Row],[KM - Fim]]=0, "-", BS_CONTROLE[[#This Row],[KM - Fim]])</f>
        <v>239</v>
      </c>
      <c r="AR108" s="32">
        <v>0.35625000000000001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VAGÕES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0</v>
      </c>
      <c r="BI108" s="14"/>
      <c r="BJ108" s="14" t="s">
        <v>1488</v>
      </c>
      <c r="BK108" s="14" t="s">
        <v>1489</v>
      </c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>
      <c r="A109" s="44" t="str">
        <f t="shared" si="7"/>
        <v>MARCOS (TF-520)46064</v>
      </c>
      <c r="B109" s="133">
        <v>46064</v>
      </c>
      <c r="C109" s="7">
        <f>IF(BS_CONTROLE[[#This Row],[DATA]]="","",WEEKNUM(BS_CONTROLE[[#This Row],[DATA]]))</f>
        <v>7</v>
      </c>
      <c r="D109" s="45" t="s">
        <v>334</v>
      </c>
      <c r="E109" s="185">
        <v>126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151">
        <v>26.818999999999999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1325</v>
      </c>
      <c r="W109" s="135" t="s">
        <v>1490</v>
      </c>
      <c r="X109" s="152" t="s">
        <v>1005</v>
      </c>
      <c r="Y109" s="129" t="s">
        <v>1008</v>
      </c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>
        <f>IF(BS_CONTROLE[[#This Row],[KM - Fim]]=0, "-", BS_CONTROLE[[#This Row],[KM - Fim]])</f>
        <v>26.818999999999999</v>
      </c>
      <c r="AR109" s="32">
        <v>0.35347222222222224</v>
      </c>
      <c r="AS109" s="32">
        <v>0.5229166666666667</v>
      </c>
      <c r="AT109" s="32">
        <v>0.60624999999999996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8.3333333333333259E-2</v>
      </c>
      <c r="AZ109" s="11"/>
      <c r="BA109" s="60"/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Marcos Euzebio</v>
      </c>
      <c r="BG109" s="13"/>
      <c r="BH109" s="14">
        <v>1</v>
      </c>
      <c r="BI109" s="14"/>
      <c r="BJ109" s="14" t="s">
        <v>1491</v>
      </c>
      <c r="BK109" s="14" t="s">
        <v>1492</v>
      </c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0.99999999999999911</v>
      </c>
      <c r="BS109" s="15">
        <f t="shared" si="10"/>
        <v>0</v>
      </c>
      <c r="BT109" s="157" t="str">
        <f t="shared" si="11"/>
        <v/>
      </c>
    </row>
    <row r="110" spans="1:72">
      <c r="A110" s="44" t="str">
        <f t="shared" si="7"/>
        <v>ANISIO (TF-514)46064</v>
      </c>
      <c r="B110" s="133">
        <v>46064</v>
      </c>
      <c r="C110" s="7">
        <f>IF(BS_CONTROLE[[#This Row],[DATA]]="","",WEEKNUM(BS_CONTROLE[[#This Row],[DATA]]))</f>
        <v>7</v>
      </c>
      <c r="D110" s="45" t="s">
        <v>273</v>
      </c>
      <c r="E110" s="185">
        <v>127</v>
      </c>
      <c r="F110" s="134" t="s">
        <v>200</v>
      </c>
      <c r="G110" s="8" t="str">
        <f>IF(D110="","*",VLOOKUP(F110,BS_ATIVIDADE[#All],3,FALSE))</f>
        <v>TRILHO - SUBSTITUIÇÂO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312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1440</v>
      </c>
      <c r="W110" s="135" t="s">
        <v>1493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SUBSTITUIÇÃO - TRILHO</v>
      </c>
      <c r="AJ110" s="8" t="str">
        <f>IF(D110="","*",VLOOKUP(AI110,BS_ATIVIDADE[#Data],3,FALSE))</f>
        <v>TRILHO - SUBSTITUIÇÂO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Anisio</v>
      </c>
      <c r="BG110" s="13"/>
      <c r="BH110" s="14">
        <v>1</v>
      </c>
      <c r="BI110" s="14"/>
      <c r="BJ110" s="14" t="s">
        <v>1491</v>
      </c>
      <c r="BK110" s="14" t="s">
        <v>1492</v>
      </c>
      <c r="BL110" s="13"/>
      <c r="BM110" s="12"/>
      <c r="BN110" s="12"/>
      <c r="BO110" s="130"/>
      <c r="BP110" s="14"/>
      <c r="BQ110" s="10" t="str">
        <f t="shared" si="8"/>
        <v>Produção e Intervalo</v>
      </c>
      <c r="BR110" s="15">
        <f t="shared" si="9"/>
        <v>0.99999999999999911</v>
      </c>
      <c r="BS110" s="15">
        <f t="shared" si="10"/>
        <v>0</v>
      </c>
      <c r="BT110" s="157" t="str">
        <f t="shared" si="11"/>
        <v/>
      </c>
    </row>
    <row r="111" spans="1:72">
      <c r="A111" s="44" t="str">
        <f t="shared" si="7"/>
        <v>TURMA FIXA VIA 46064</v>
      </c>
      <c r="B111" s="133">
        <v>46064</v>
      </c>
      <c r="C111" s="7">
        <f>IF(BS_CONTROLE[[#This Row],[DATA]]="","",WEEKNUM(BS_CONTROLE[[#This Row],[DATA]]))</f>
        <v>7</v>
      </c>
      <c r="D111" s="45" t="s">
        <v>265</v>
      </c>
      <c r="E111" s="185">
        <v>128</v>
      </c>
      <c r="F111" s="134" t="s">
        <v>200</v>
      </c>
      <c r="G111" s="8" t="str">
        <f>IF(D111="","*",VLOOKUP(F111,BS_ATIVIDADE[#All],3,FALSE))</f>
        <v>TRILHO - SUBSTITUIÇÂO</v>
      </c>
      <c r="H111" s="135" t="s">
        <v>888</v>
      </c>
      <c r="I111" s="135" t="s">
        <v>11</v>
      </c>
      <c r="J111" s="151">
        <v>101</v>
      </c>
      <c r="K111" s="151">
        <v>1505.85</v>
      </c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1" s="135">
        <v>0.41666666666666669</v>
      </c>
      <c r="P111" s="135">
        <v>8.3333333333333329E-2</v>
      </c>
      <c r="Q111" s="71">
        <v>8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1" s="199" t="str">
        <f>IFERROR(_xlfn.XLOOKUP(J111, BASE_MAPA!$B$2:$B$420, BASE_MAPA!$G$2:$G$420), "ERRO")</f>
        <v>PORTO NACIONAL - OURO VERDE</v>
      </c>
      <c r="V111" s="143" t="s">
        <v>1367</v>
      </c>
      <c r="W111" s="135" t="s">
        <v>1368</v>
      </c>
      <c r="X111" s="152" t="s">
        <v>1005</v>
      </c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POVPJA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PJA-POV</v>
      </c>
      <c r="AN111" s="175" t="str">
        <f>IF(BS_CONTROLE[[#This Row],[SB]]=0, "-", BS_CONTROLE[[#This Row],[SB]])</f>
        <v>POVPJA</v>
      </c>
      <c r="AO111" s="176">
        <f>IF(BS_CONTROLE[[#This Row],[SUB]]=0, "-", BS_CONTROLE[[#This Row],[SUB]])</f>
        <v>101</v>
      </c>
      <c r="AP111" s="177">
        <f>IF(BS_CONTROLE[[#This Row],[KM - Inicio]]=0, "-", BS_CONTROLE[[#This Row],[KM - Inicio]])</f>
        <v>1505.85</v>
      </c>
      <c r="AQ111" s="177" t="str">
        <f>IF(BS_CONTROLE[[#This Row],[KM - Fim]]=0, "-", BS_CONTROLE[[#This Row],[KM - Fim]])</f>
        <v>-</v>
      </c>
      <c r="AR111" s="32">
        <v>0.45833333333333331</v>
      </c>
      <c r="AS111" s="32">
        <v>0.46111111111111114</v>
      </c>
      <c r="AT111" s="32">
        <v>0.5444444444444444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8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1" s="200" t="str">
        <f>IFERROR(_xlfn.XLOOKUP(AO111, BASE_MAPA!$B$2:$B$420, BASE_MAPA!$G$2:$G$420), "ERRO")</f>
        <v>PORTO NACIONAL - OURO VERDE</v>
      </c>
      <c r="BF111" s="178" t="str">
        <f>IF(BS_CONTROLE[[#This Row],[Responsavel pelo boletim]]=0, "-", BS_CONTROLE[[#This Row],[Responsavel pelo boletim]])</f>
        <v>Carlito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/>
      <c r="BN111" s="12"/>
      <c r="BO111" s="130"/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>
      <c r="A114" s="44" t="str">
        <f t="shared" si="12"/>
        <v>V86</v>
      </c>
      <c r="B114" s="133"/>
      <c r="C114" s="7" t="str">
        <f>IF(BS_CONTROLE[[#This Row],[DATA]]="","",WEEKNUM(BS_CONTROLE[[#This Row],[DATA]]))</f>
        <v/>
      </c>
      <c r="D114" s="45" t="s">
        <v>217</v>
      </c>
      <c r="E114" s="185">
        <v>131</v>
      </c>
      <c r="F114" s="134"/>
      <c r="G114" s="8" t="e">
        <f>IF(D114="","*",VLOOKUP(F114,BS_ATIVIDADE[#All],3,FALSE))</f>
        <v>#N/A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e">
        <f>IF(D114="","*",VLOOKUP(AI114,BS_ATIVIDADE[#Data],3,FALSE))</f>
        <v>#N/A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IF(D114="","*",IFERROR(IF(ISODD(COUNT(AS114:AX116)),"ERRO",SUM((AT114-AS114),(AV114-AU114),(AX114-AW114))),"ERRO"))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>
      <c r="A115" s="44" t="str">
        <f t="shared" si="12"/>
        <v>W70</v>
      </c>
      <c r="B115" s="133"/>
      <c r="C115" s="7" t="str">
        <f>IF(BS_CONTROLE[[#This Row],[DATA]]="","",WEEKNUM(BS_CONTROLE[[#This Row],[DATA]]))</f>
        <v/>
      </c>
      <c r="D115" s="45" t="s">
        <v>249</v>
      </c>
      <c r="E115" s="185">
        <v>132</v>
      </c>
      <c r="F115" s="134"/>
      <c r="G115" s="8" t="e">
        <f>IF(D115="","*",VLOOKUP(F115,BS_ATIVIDADE[#All],3,FALSE))</f>
        <v>#N/A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e">
        <f>IF(D115="","*",VLOOKUP(AI115,BS_ATIVIDADE[#Data],3,FALSE))</f>
        <v>#N/A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>
      <c r="A117" s="44" t="str">
        <f t="shared" si="12"/>
        <v>FERNANDO (TF-19)</v>
      </c>
      <c r="B117" s="133"/>
      <c r="C117" s="7" t="str">
        <f>IF(BS_CONTROLE[[#This Row],[DATA]]="","",WEEKNUM(BS_CONTROLE[[#This Row],[DATA]]))</f>
        <v/>
      </c>
      <c r="D117" s="45" t="s">
        <v>361</v>
      </c>
      <c r="E117" s="185">
        <v>134</v>
      </c>
      <c r="F117" s="134"/>
      <c r="G117" s="8" t="e">
        <f>IF(D117="","*",VLOOKUP(F117,BS_ATIVIDADE[#All],3,FALSE))</f>
        <v>#N/A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e">
        <f>IF(D117="","*",VLOOKUP(AI117,BS_ATIVIDADE[#Data],3,FALSE))</f>
        <v>#N/A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>
        <f>IF(D117="","*",IFERROR(IF(ISODD(COUNT(AS117:AX119)),"ERRO",SUM((AT117-AS117),(AV117-AU117),(AX117-AW117))),"ERRO"))</f>
        <v>0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>
      <c r="A119" s="44" t="str">
        <f t="shared" si="12"/>
        <v>BRUNO (TF-525)</v>
      </c>
      <c r="B119" s="133"/>
      <c r="C119" s="7" t="str">
        <f>IF(BS_CONTROLE[[#This Row],[DATA]]="","",WEEKNUM(BS_CONTROLE[[#This Row],[DATA]]))</f>
        <v/>
      </c>
      <c r="D119" s="45" t="s">
        <v>278</v>
      </c>
      <c r="E119" s="185">
        <v>136</v>
      </c>
      <c r="F119" s="134"/>
      <c r="G119" s="8" t="e">
        <f>IF(D119="","*",VLOOKUP(F119,BS_ATIVIDADE[#All],3,FALSE))</f>
        <v>#N/A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e">
        <f>IF(D119="","*",VLOOKUP(AI119,BS_ATIVIDADE[#Data],3,FALSE))</f>
        <v>#N/A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>
        <f>IF(D119="","*",IFERROR(IF(ISODD(COUNT(AS119:AX121)),"ERRO",SUM((AT119-AS119),(AV119-AU119),(AX119-AW119))),"ERRO"))</f>
        <v>0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>
      <c r="A121" s="44" t="str">
        <f t="shared" si="12"/>
        <v>W50</v>
      </c>
      <c r="B121" s="133"/>
      <c r="C121" s="7" t="str">
        <f>IF(BS_CONTROLE[[#This Row],[DATA]]="","",WEEKNUM(BS_CONTROLE[[#This Row],[DATA]]))</f>
        <v/>
      </c>
      <c r="D121" s="45" t="s">
        <v>240</v>
      </c>
      <c r="E121" s="185">
        <v>138</v>
      </c>
      <c r="F121" s="134"/>
      <c r="G121" s="8" t="e">
        <f>IF(D121="","*",VLOOKUP(F121,BS_ATIVIDADE[#All],3,FALSE))</f>
        <v>#N/A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e">
        <f>IF(D121="","*",VLOOKUP(AI121,BS_ATIVIDADE[#Data],3,FALSE))</f>
        <v>#N/A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IF(D121="","*",IFERROR(IF(ISODD(COUNT(AS121:AX123)),"ERRO",SUM((AT121-AS121),(AV121-AU121),(AX121-AW121))),"ERRO"))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>
      <c r="A123" s="44" t="str">
        <f t="shared" si="12"/>
        <v>V66</v>
      </c>
      <c r="B123" s="133"/>
      <c r="C123" s="7" t="str">
        <f>IF(BS_CONTROLE[[#This Row],[DATA]]="","",WEEKNUM(BS_CONTROLE[[#This Row],[DATA]]))</f>
        <v/>
      </c>
      <c r="D123" s="45" t="s">
        <v>192</v>
      </c>
      <c r="E123" s="185">
        <v>140</v>
      </c>
      <c r="F123" s="134"/>
      <c r="G123" s="8" t="e">
        <f>IF(D123="","*",VLOOKUP(F123,BS_ATIVIDADE[#All],3,FALSE))</f>
        <v>#N/A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e">
        <f>IF(D123="","*",VLOOKUP(AI123,BS_ATIVIDADE[#Data],3,FALSE))</f>
        <v>#N/A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>
        <f>IF(D123="","*",IFERROR(IF(ISODD(COUNT(AS123:AX125)),"ERRO",SUM((AT123-AS123),(AV123-AU123),(AX123-AW123))),"ERRO"))</f>
        <v>0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97" operator="equal">
      <formula>"ERRO"</formula>
    </cfRule>
  </conditionalFormatting>
  <conditionalFormatting sqref="X4 Y1:Z5 Y8:Z778">
    <cfRule type="cellIs" dxfId="123" priority="18486" operator="equal">
      <formula>"OPORTUNIDADE"</formula>
    </cfRule>
  </conditionalFormatting>
  <conditionalFormatting sqref="AZ6:AZ778">
    <cfRule type="expression" dxfId="122" priority="18481">
      <formula>$BU6=1</formula>
    </cfRule>
  </conditionalFormatting>
  <conditionalFormatting sqref="BQ6:BQ778">
    <cfRule type="cellIs" dxfId="121" priority="18492" operator="equal">
      <formula>"Produção e Intervalo"</formula>
    </cfRule>
    <cfRule type="cellIs" dxfId="120" priority="18493" operator="equal">
      <formula>"Aderente"</formula>
    </cfRule>
    <cfRule type="cellIs" dxfId="119" priority="18494" operator="equal">
      <formula>"Intervalo"</formula>
    </cfRule>
    <cfRule type="cellIs" dxfId="118" priority="18495" operator="equal">
      <formula>"Produção"</formula>
    </cfRule>
    <cfRule type="cellIs" dxfId="117" priority="18496" operator="equal">
      <formula>"ERRO"</formula>
    </cfRule>
  </conditionalFormatting>
  <conditionalFormatting sqref="BR6:BS778">
    <cfRule type="cellIs" dxfId="116" priority="18474" operator="equal">
      <formula>"*"</formula>
    </cfRule>
    <cfRule type="cellIs" dxfId="115" priority="18475" operator="greaterThanOrEqual">
      <formula>1</formula>
    </cfRule>
    <cfRule type="cellIs" dxfId="114" priority="18476" operator="lessThan">
      <formula>1</formula>
    </cfRule>
  </conditionalFormatting>
  <conditionalFormatting sqref="Y8:Z778">
    <cfRule type="cellIs" dxfId="113" priority="18422" operator="equal">
      <formula>"NÃO"</formula>
    </cfRule>
    <cfRule type="cellIs" dxfId="112" priority="18423" operator="equal">
      <formula>"SIM"</formula>
    </cfRule>
  </conditionalFormatting>
  <conditionalFormatting sqref="Y1047841:Y1048576">
    <cfRule type="cellIs" dxfId="111" priority="18303" operator="equal">
      <formula>"OPORTUNIDADE"</formula>
    </cfRule>
  </conditionalFormatting>
  <conditionalFormatting sqref="Y1047841:Y1048576">
    <cfRule type="cellIs" dxfId="110" priority="18301" operator="equal">
      <formula>"NÃO"</formula>
    </cfRule>
    <cfRule type="cellIs" dxfId="109" priority="18302" operator="equal">
      <formula>"SIM"</formula>
    </cfRule>
  </conditionalFormatting>
  <conditionalFormatting sqref="Y6:Y7">
    <cfRule type="cellIs" dxfId="108" priority="23" operator="equal">
      <formula>"OPORTUNIDADE"</formula>
    </cfRule>
  </conditionalFormatting>
  <conditionalFormatting sqref="Y6:Y7">
    <cfRule type="cellIs" dxfId="107" priority="21" operator="equal">
      <formula>"NÃO"</formula>
    </cfRule>
    <cfRule type="cellIs" dxfId="106" priority="22" operator="equal">
      <formula>"SIM"</formula>
    </cfRule>
  </conditionalFormatting>
  <conditionalFormatting sqref="BK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J6:BJ778 BK101 BK111">
    <cfRule type="iconSet" priority="22724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2:BK778 BK102:BK110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817">
      <iconSet showValue="0">
        <cfvo type="percent" val="0"/>
        <cfvo type="num" val="1"/>
        <cfvo type="num" val="1" gte="0"/>
      </iconSet>
    </cfRule>
  </conditionalFormatting>
  <conditionalFormatting sqref="BH6:BH80 BH82:BH778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1496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86" t="s">
        <v>104</v>
      </c>
      <c r="D3" s="186" t="s">
        <v>1497</v>
      </c>
      <c r="E3" s="186" t="s">
        <v>1498</v>
      </c>
      <c r="F3" s="186" t="s">
        <v>1499</v>
      </c>
      <c r="G3" s="186" t="s">
        <v>1500</v>
      </c>
      <c r="H3" s="186" t="s">
        <v>1501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1502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1503</v>
      </c>
      <c r="D12" s="187">
        <v>9049</v>
      </c>
      <c r="E12" s="188">
        <v>46044</v>
      </c>
      <c r="F12" s="190" t="s">
        <v>1504</v>
      </c>
      <c r="G12" s="187" t="s">
        <v>1505</v>
      </c>
      <c r="H12" s="187"/>
    </row>
    <row r="13" spans="3:8">
      <c r="C13" s="187" t="s">
        <v>1503</v>
      </c>
      <c r="D13" s="187">
        <v>9044</v>
      </c>
      <c r="E13" s="188">
        <v>46044</v>
      </c>
      <c r="F13" s="190" t="s">
        <v>1506</v>
      </c>
      <c r="G13" s="187" t="s">
        <v>1507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1508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1508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1509</v>
      </c>
      <c r="C2" s="83" t="s">
        <v>1196</v>
      </c>
      <c r="D2" s="83" t="s">
        <v>1198</v>
      </c>
      <c r="E2" s="83" t="s">
        <v>1510</v>
      </c>
      <c r="F2" s="83" t="s">
        <v>1511</v>
      </c>
      <c r="G2" s="83" t="s">
        <v>1512</v>
      </c>
      <c r="H2" s="83" t="s">
        <v>1513</v>
      </c>
      <c r="I2" s="83" t="s">
        <v>1514</v>
      </c>
      <c r="J2" s="83" t="s">
        <v>1515</v>
      </c>
      <c r="K2" s="109" t="s">
        <v>1516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 hidden="1">
      <c r="B121" s="100" t="str">
        <f>IF(FN_MC!Y101="","*",FN_MC!Y101)</f>
        <v>SIM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TBS-TAL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 hidden="1">
      <c r="B122" s="100" t="str">
        <f>IF(FN_MC!Y102="","*",FN_MC!Y102)</f>
        <v>OPORTUNIDADE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 hidden="1">
      <c r="B123" s="100" t="str">
        <f>IF(FN_MC!Y103="","*",FN_MC!Y103)</f>
        <v>OPORTUNIDADE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 hidden="1">
      <c r="B124" s="100" t="str">
        <f>IF(FN_MC!Y104="","*",FN_MC!Y104)</f>
        <v>OPORTUNIDADE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 hidden="1">
      <c r="B125" s="100" t="str">
        <f>IF(FN_MC!Y105="","*",FN_MC!Y105)</f>
        <v>SIM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 hidden="1">
      <c r="B126" s="100" t="str">
        <f>IF(FN_MC!Y106="","*",FN_MC!Y106)</f>
        <v>SIM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 hidden="1">
      <c r="B127" s="100" t="str">
        <f>IF(FN_MC!Y108="","*",FN_MC!Y108)</f>
        <v>OPORTUNIDADE</v>
      </c>
      <c r="C127" s="101">
        <f>IF(FN_MC!B108="","*",FN_MC!B108)</f>
        <v>46064</v>
      </c>
      <c r="D127" s="101" t="str">
        <f>IF(FN_MC!D108="","*",FN_MC!D108)</f>
        <v>W50</v>
      </c>
      <c r="E127" s="101" t="str">
        <f>IF(FN_MC!H108="","*",FN_MC!H108)</f>
        <v xml:space="preserve">TCS2 </v>
      </c>
      <c r="F127" s="114" t="str">
        <f>IF(FN_MC!M108="","*",FN_MC!M108)</f>
        <v>TVI-TJA</v>
      </c>
      <c r="G127" s="101" t="str">
        <f>IF(FN_MC!I108="","*",FN_MC!I108)</f>
        <v xml:space="preserve">TCS2 </v>
      </c>
      <c r="H127" s="101" t="str">
        <f>IF(FN_MC!AB108="","*",FN_MC!AB108)</f>
        <v>FIXO</v>
      </c>
      <c r="I127" s="101" t="str">
        <f>IF(FN_MC!AC108="","*",FN_MC!AC108)</f>
        <v>*</v>
      </c>
      <c r="J127" s="102" t="str">
        <f>IF(FN_MC!AA108="","*",FN_MC!AA108)</f>
        <v>2 Maicon + Eder</v>
      </c>
      <c r="K127" s="112">
        <f>IF(FN_MC!AD108="","*",FN_MC!AD108)</f>
        <v>0.29166666666666669</v>
      </c>
    </row>
    <row r="128" spans="2:11" hidden="1">
      <c r="B128" s="100" t="str">
        <f>IF(FN_MC!Y109="","*",FN_MC!Y109)</f>
        <v>OPORTUNIDADE</v>
      </c>
      <c r="C128" s="101">
        <f>IF(FN_MC!B109="","*",FN_MC!B109)</f>
        <v>46064</v>
      </c>
      <c r="D128" s="101" t="str">
        <f>IF(FN_MC!D109="","*",FN_MC!D109)</f>
        <v>MARCOS (TF-520)</v>
      </c>
      <c r="E128" s="101" t="str">
        <f>IF(FN_MC!H109="","*",FN_MC!H109)</f>
        <v>TAPK35</v>
      </c>
      <c r="F128" s="114" t="str">
        <f>IF(FN_MC!M109="","*",FN_MC!M109)</f>
        <v>TAP-TLG</v>
      </c>
      <c r="G128" s="101" t="str">
        <f>IF(FN_MC!I109="","*",FN_MC!I109)</f>
        <v>-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-</v>
      </c>
    </row>
    <row r="129" spans="2:11" hidden="1">
      <c r="B129" s="100" t="str">
        <f>IF(FN_MC!Y110="","*",FN_MC!Y110)</f>
        <v>OPORTUNIDADE</v>
      </c>
      <c r="C129" s="101">
        <f>IF(FN_MC!B110="","*",FN_MC!B110)</f>
        <v>46064</v>
      </c>
      <c r="D129" s="101" t="str">
        <f>IF(FN_MC!D110="","*",FN_MC!D110)</f>
        <v>ANISIO (TF-514)</v>
      </c>
      <c r="E129" s="101" t="str">
        <f>IF(FN_MC!H110="","*",FN_MC!H110)</f>
        <v>TAPK35</v>
      </c>
      <c r="F129" s="114" t="str">
        <f>IF(FN_MC!M110="","*",FN_MC!M110)</f>
        <v>TAP-TLG</v>
      </c>
      <c r="G129" s="101" t="str">
        <f>IF(FN_MC!I110="","*",FN_MC!I110)</f>
        <v>-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-</v>
      </c>
    </row>
    <row r="130" spans="2:11" hidden="1">
      <c r="B130" s="100" t="str">
        <f>IF(FN_MC!Y111="","*",FN_MC!Y111)</f>
        <v>*</v>
      </c>
      <c r="C130" s="101">
        <f>IF(FN_MC!B111="","*",FN_MC!B111)</f>
        <v>46064</v>
      </c>
      <c r="D130" s="101" t="str">
        <f>IF(FN_MC!D111="","*",FN_MC!D111)</f>
        <v xml:space="preserve">TURMA FIXA VIA </v>
      </c>
      <c r="E130" s="101" t="str">
        <f>IF(FN_MC!H111="","*",FN_MC!H111)</f>
        <v>POVPJA</v>
      </c>
      <c r="F130" s="114" t="str">
        <f>IF(FN_MC!M111="","*",FN_MC!M111)</f>
        <v>PJA-POV</v>
      </c>
      <c r="G130" s="101" t="str">
        <f>IF(FN_MC!I111="","*",FN_MC!I111)</f>
        <v>-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V86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W70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FERNANDO (TF-19)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BRUNO (TF-525)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W50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V66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J1" workbookViewId="0">
      <selection activeCell="A2" sqref="A2:T10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5" t="s">
        <v>1259</v>
      </c>
      <c r="Q2" s="266"/>
      <c r="R2" s="88"/>
      <c r="S2" s="88"/>
      <c r="T2" s="89"/>
      <c r="U2" s="267" t="s">
        <v>1517</v>
      </c>
      <c r="V2" s="267"/>
      <c r="W2" s="267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1518</v>
      </c>
      <c r="B3" s="91" t="s">
        <v>1519</v>
      </c>
      <c r="C3" s="91" t="s">
        <v>7</v>
      </c>
      <c r="D3" s="92" t="s">
        <v>1211</v>
      </c>
      <c r="E3" s="92" t="s">
        <v>366</v>
      </c>
      <c r="F3" s="92" t="s">
        <v>1520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1521</v>
      </c>
      <c r="T3" s="94" t="s">
        <v>1214</v>
      </c>
      <c r="U3" s="90">
        <f ca="1">TODAY()-1</f>
        <v>46063</v>
      </c>
      <c r="V3" s="90">
        <f ca="1">U3-1</f>
        <v>46062</v>
      </c>
      <c r="W3" s="90">
        <f ca="1">V3-1</f>
        <v>46061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4512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0</v>
      </c>
      <c r="W10" s="98" t="str">
        <f ca="1">_xlfn.XLOOKUP(G10&amp;$W$3,BS_CONTROLE[CHAVE],BS_CONTROLE[Quantidade_11],"-")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936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2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4512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0</v>
      </c>
      <c r="W18" s="98" t="str">
        <f ca="1">_xlfn.XLOOKUP(G18&amp;$W$3,BS_CONTROLE[CHAVE],BS_CONTROLE[Quantidade_11],"-")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936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4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4512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0</v>
      </c>
      <c r="W30" s="98" t="str">
        <f ca="1">_xlfn.XLOOKUP(G30&amp;$W$3,BS_CONTROLE[CHAVE],BS_CONTROLE[Quantidade_11],"-")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936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4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100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4512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0</v>
      </c>
      <c r="W42" s="98" t="str">
        <f ca="1">_xlfn.XLOOKUP(G42&amp;$W$3,BS_CONTROLE[CHAVE],BS_CONTROLE[Quantidade_11],"-")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936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4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100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4512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0</v>
      </c>
      <c r="W55" s="98" t="str">
        <f ca="1">_xlfn.XLOOKUP(G55&amp;$W$3,BS_CONTROLE[CHAVE],BS_CONTROLE[Quantidade_11],"-")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100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4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936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4512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0</v>
      </c>
      <c r="W64" s="98" t="str">
        <f ca="1">_xlfn.XLOOKUP(G64&amp;$W$3,BS_CONTROLE[CHAVE],BS_CONTROLE[Quantidade_11],"-")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4512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4512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0</v>
      </c>
      <c r="W73" s="98" t="str">
        <f ca="1">_xlfn.XLOOKUP(G73&amp;$W$3,BS_CONTROLE[CHAVE],BS_CONTROLE[Quantidade_11],"-")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100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4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e">
        <f>IF(FN_MC!#REF!="","*",FN_MC!#REF!)</f>
        <v>#REF!</v>
      </c>
      <c r="B78" s="95" t="e">
        <f>IF(FN_MC!#REF!="","*",FN_MC!#REF!)</f>
        <v>#REF!</v>
      </c>
      <c r="C78" s="95" t="e">
        <f>IF(FN_MC!#REF!="","*",FN_MC!#REF!)</f>
        <v>#REF!</v>
      </c>
      <c r="D78" s="96" t="e">
        <f>IF(FN_MC!#REF!="","*",FN_MC!#REF!)</f>
        <v>#REF!</v>
      </c>
      <c r="E78" s="96" t="e">
        <f>IF(FN_MC!#REF!="","*",FN_MC!#REF!)</f>
        <v>#REF!</v>
      </c>
      <c r="F78" s="96" t="e">
        <f>IF(FN_MC!#REF!="","*",FN_MC!#REF!)</f>
        <v>#REF!</v>
      </c>
      <c r="G78" s="96" t="e">
        <f>IF(FN_MC!#REF!="","*",FN_MC!#REF!)</f>
        <v>#REF!</v>
      </c>
      <c r="H78" s="96" t="e">
        <f>IF(FN_MC!#REF!="","*",FN_MC!#REF!)</f>
        <v>#REF!</v>
      </c>
      <c r="I78" s="96" t="e">
        <f>IF(FN_MC!#REF!="","*",FN_MC!#REF!)</f>
        <v>#REF!</v>
      </c>
      <c r="J78" s="96" t="e">
        <f>IF(FN_MC!#REF!="","*",FN_MC!#REF!)</f>
        <v>#REF!</v>
      </c>
      <c r="K78" s="96" t="e">
        <f>IF(FN_MC!#REF!="","*",FN_MC!#REF!)</f>
        <v>#REF!</v>
      </c>
      <c r="L78" s="196" t="e">
        <f>IF(FN_MC!#REF!="","*",FN_MC!#REF!)</f>
        <v>#REF!</v>
      </c>
      <c r="M78" s="97" t="e">
        <f>IF(FN_MC!#REF!="","*",FN_MC!#REF!)</f>
        <v>#REF!</v>
      </c>
      <c r="N78" s="183" t="e">
        <f>IF(FN_MC!#REF!="","*",FN_MC!#REF!)</f>
        <v>#REF!</v>
      </c>
      <c r="O78" s="183" t="e">
        <f>IF(FN_MC!#REF!="","*",FN_MC!#REF!)</f>
        <v>#REF!</v>
      </c>
      <c r="P78" s="107" t="e">
        <f>IF(FN_MC!#REF!="","*",FN_MC!#REF!)</f>
        <v>#REF!</v>
      </c>
      <c r="Q78" s="107" t="e">
        <f>IF(FN_MC!#REF!="","*",FN_MC!#REF!)</f>
        <v>#REF!</v>
      </c>
      <c r="R78" s="96" t="e">
        <f>IF(FN_MC!#REF!="","*",CONCATENATE(FN_MC!#REF!," ",FN_MC!#REF!))</f>
        <v>#REF!</v>
      </c>
      <c r="S78" s="96" t="e">
        <f>IF(FN_MC!#REF!="","*",FN_MC!#REF!)</f>
        <v>#REF!</v>
      </c>
      <c r="T78" s="96" t="e">
        <f>IF(FN_MC!#REF!="","*",FN_MC!#REF!)</f>
        <v>#REF!</v>
      </c>
      <c r="U78" s="98" t="e">
        <f ca="1">_xlfn.XLOOKUP(G78&amp;$U$3,BS_CONTROLE[CHAVE],BS_CONTROLE[Quantidade_11],"-")</f>
        <v>#REF!</v>
      </c>
      <c r="V78" s="98" t="e">
        <f ca="1">_xlfn.XLOOKUP(G78&amp;$V$3,BS_CONTROLE[CHAVE],BS_CONTROLE[Quantidade_11],"-")</f>
        <v>#REF!</v>
      </c>
      <c r="W78" s="98" t="e">
        <f ca="1">_xlfn.XLOOKUP(G78&amp;$W$3,BS_CONTROLE[CHAVE],BS_CONTROLE[Quantidade_11],"-")</f>
        <v>#REF!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*</v>
      </c>
      <c r="B79" s="95" t="str">
        <f>IF(FN_MC!X80="","*",FN_MC!X80)</f>
        <v>Oportunidade</v>
      </c>
      <c r="C79" s="95" t="str">
        <f>IF(FN_MC!Z80="","*",FN_MC!Z80)</f>
        <v>*</v>
      </c>
      <c r="D79" s="96" t="str">
        <f>IF(FN_MC!S80="","*",FN_MC!S80)</f>
        <v>FERRONORTE</v>
      </c>
      <c r="E79" s="96" t="str">
        <f>IF(FN_MC!T80="","*",FN_MC!T80)</f>
        <v>TMI-TCS</v>
      </c>
      <c r="F79" s="96">
        <f>IF(FN_MC!B80="","*",FN_MC!B80)</f>
        <v>46062</v>
      </c>
      <c r="G79" s="96" t="str">
        <f>IF(FN_MC!D80="","*",FN_MC!D80)</f>
        <v>V66</v>
      </c>
      <c r="H79" s="96" t="str">
        <f>IF(FN_MC!F80="","*",FN_MC!F80)</f>
        <v>MODERNIZAÇÃO - REGULAGEM</v>
      </c>
      <c r="I79" s="96" t="str">
        <f>IF(FN_MC!H80="","*",FN_MC!H80)</f>
        <v>TID2</v>
      </c>
      <c r="J79" s="96" t="str">
        <f>IF(FN_MC!I80="","*",FN_MC!I80)</f>
        <v>TID2</v>
      </c>
      <c r="K79" s="96" t="str">
        <f>IF(FN_MC!M80="","*",FN_MC!M80)</f>
        <v>TCE-TID</v>
      </c>
      <c r="L79" s="196" t="str">
        <f>IF(FN_MC!N80="","*",FN_MC!N80)</f>
        <v>TCE177</v>
      </c>
      <c r="M79" s="97">
        <f>IF(FN_MC!J80="","*",FN_MC!J80)</f>
        <v>74</v>
      </c>
      <c r="N79" s="183">
        <f>IF(FN_MC!K80="","*",FN_MC!K80)</f>
        <v>172</v>
      </c>
      <c r="O79" s="183">
        <f>IF(FN_MC!L80="","*",FN_MC!L80)</f>
        <v>173</v>
      </c>
      <c r="P79" s="107">
        <f>IF(FN_MC!O80="","*",FN_MC!O80)</f>
        <v>0.45833333333333331</v>
      </c>
      <c r="Q79" s="107">
        <f>IF(FN_MC!P80="","*",FN_MC!P80)</f>
        <v>8.3333333333333329E-2</v>
      </c>
      <c r="R79" s="96" t="str">
        <f>IF(FN_MC!Q80="","*",CONCATENATE(FN_MC!Q80," ",FN_MC!R80))</f>
        <v>500 M</v>
      </c>
      <c r="S79" s="96" t="str">
        <f>IF(FN_MC!V80="","*",FN_MC!V80)</f>
        <v>Augusto/ Efraim</v>
      </c>
      <c r="T79" s="96" t="str">
        <f>IF(FN_MC!W80="","*",FN_MC!W80)</f>
        <v>Regulagem de brita</v>
      </c>
      <c r="U79" s="98">
        <f ca="1">_xlfn.XLOOKUP(G79&amp;$U$3,BS_CONTROLE[CHAVE],BS_CONTROLE[Quantidade_11],"-")</f>
        <v>1000</v>
      </c>
      <c r="V79" s="98">
        <f ca="1">_xlfn.XLOOKUP(G79&amp;$V$3,BS_CONTROLE[CHAVE],BS_CONTROLE[Quantidade_11],"-")</f>
        <v>0</v>
      </c>
      <c r="W79" s="98">
        <f ca="1">_xlfn.XLOOKUP(G79&amp;$W$3,BS_CONTROLE[CHAVE],BS_CONTROLE[Quantidade_11],"-")</f>
        <v>1000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Oportunidade</v>
      </c>
      <c r="C80" s="95" t="str">
        <f>IF(FN_MC!Z81="","*",FN_MC!Z81)</f>
        <v>*</v>
      </c>
      <c r="D80" s="96" t="str">
        <f>IF(FN_MC!S81="","*",FN_MC!S81)</f>
        <v>FERRONORTE</v>
      </c>
      <c r="E80" s="96" t="str">
        <f>IF(FN_MC!T81="","*",FN_MC!T81)</f>
        <v>TMI-TCS</v>
      </c>
      <c r="F80" s="96">
        <f>IF(FN_MC!B81="","*",FN_MC!B81)</f>
        <v>46062</v>
      </c>
      <c r="G80" s="96" t="str">
        <f>IF(FN_MC!D81="","*",FN_MC!D81)</f>
        <v>ANISIO (TF-514)</v>
      </c>
      <c r="H80" s="96" t="str">
        <f>IF(FN_MC!F81="","*",FN_MC!F81)</f>
        <v>PDM - SUBSTITUIÇÃO - TRILHO</v>
      </c>
      <c r="I80" s="96" t="str">
        <f>IF(FN_MC!H81="","*",FN_MC!H81)</f>
        <v>-</v>
      </c>
      <c r="J80" s="96" t="str">
        <f>IF(FN_MC!I81="","*",FN_MC!I81)</f>
        <v>-</v>
      </c>
      <c r="K80" s="96" t="str">
        <f>IF(FN_MC!M81="","*",FN_MC!M81)</f>
        <v>TLG-TQI</v>
      </c>
      <c r="L80" s="196" t="str">
        <f>IF(FN_MC!N81="","*",FN_MC!N81)</f>
        <v>K52TQI</v>
      </c>
      <c r="M80" s="97">
        <f>IF(FN_MC!J81="","*",FN_MC!J81)</f>
        <v>74</v>
      </c>
      <c r="N80" s="183">
        <f>IF(FN_MC!K81="","*",FN_MC!K81)</f>
        <v>54.53</v>
      </c>
      <c r="O80" s="183" t="str">
        <f>IF(FN_MC!L81="","*",FN_MC!L81)</f>
        <v>-</v>
      </c>
      <c r="P80" s="107">
        <f>IF(FN_MC!O81="","*",FN_MC!O81)</f>
        <v>0.41666666666666669</v>
      </c>
      <c r="Q80" s="107">
        <f>IF(FN_MC!P81="","*",FN_MC!P81)</f>
        <v>4.1666666666666664E-2</v>
      </c>
      <c r="R80" s="96" t="str">
        <f>IF(FN_MC!Q81="","*",CONCATENATE(FN_MC!Q81," ",FN_MC!R81))</f>
        <v>8 M</v>
      </c>
      <c r="S80" s="96" t="str">
        <f>IF(FN_MC!V81="","*",FN_MC!V81)</f>
        <v>Anisio</v>
      </c>
      <c r="T80" s="96" t="str">
        <f>IF(FN_MC!W81="","*",FN_MC!W81)</f>
        <v>Substituição de trilho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Extra</v>
      </c>
      <c r="C81" s="95" t="str">
        <f>IF(FN_MC!Z82="","*",FN_MC!Z82)</f>
        <v>*</v>
      </c>
      <c r="D81" s="96" t="str">
        <f>IF(FN_MC!S82="","*",FN_MC!S82)</f>
        <v>MALHA CENTRAL</v>
      </c>
      <c r="E81" s="96" t="str">
        <f>IF(FN_MC!T82="","*",FN_MC!T82)</f>
        <v>PPN-POV</v>
      </c>
      <c r="F81" s="96">
        <f>IF(FN_MC!B82="","*",FN_MC!B82)</f>
        <v>46062</v>
      </c>
      <c r="G81" s="96" t="str">
        <f>IF(FN_MC!D82="","*",FN_MC!D82)</f>
        <v>E14</v>
      </c>
      <c r="H81" s="96" t="str">
        <f>IF(FN_MC!F82="","*",FN_MC!F82)</f>
        <v>DESLOCAMENTO</v>
      </c>
      <c r="I81" s="96" t="str">
        <f>IF(FN_MC!H82="","*",FN_MC!H82)</f>
        <v>PPN1</v>
      </c>
      <c r="J81" s="96" t="str">
        <f>IF(FN_MC!I82="","*",FN_MC!I82)</f>
        <v>PGU2</v>
      </c>
      <c r="K81" s="96" t="str">
        <f>IF(FN_MC!M82="","*",FN_MC!M82)</f>
        <v>PPN</v>
      </c>
      <c r="L81" s="196" t="str">
        <f>IF(FN_MC!N82="","*",FN_MC!N82)</f>
        <v>PPN1</v>
      </c>
      <c r="M81" s="97">
        <f>IF(FN_MC!J82="","*",FN_MC!J82)</f>
        <v>101</v>
      </c>
      <c r="N81" s="183">
        <f>IF(FN_MC!K82="","*",FN_MC!K82)</f>
        <v>721</v>
      </c>
      <c r="O81" s="183" t="str">
        <f>IF(FN_MC!L82="","*",FN_MC!L82)</f>
        <v>-</v>
      </c>
      <c r="P81" s="107">
        <f>IF(FN_MC!O82="","*",FN_MC!O82)</f>
        <v>0.99930555555555556</v>
      </c>
      <c r="Q81" s="107">
        <f>IF(FN_MC!P82="","*",FN_MC!P82)</f>
        <v>4.1666666666666664E-2</v>
      </c>
      <c r="R81" s="96" t="str">
        <f>IF(FN_MC!Q82="","*",CONCATENATE(FN_MC!Q82," ",FN_MC!R82))</f>
        <v>1 BINÁRIO</v>
      </c>
      <c r="S81" s="96" t="str">
        <f>IF(FN_MC!V82="","*",FN_MC!V82)</f>
        <v>Fernanda</v>
      </c>
      <c r="T81" s="96" t="str">
        <f>IF(FN_MC!W82="","*",FN_MC!W82)</f>
        <v>Deslocamento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1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Oportunidade</v>
      </c>
      <c r="C82" s="95" t="str">
        <f>IF(FN_MC!Z83="","*",FN_MC!Z83)</f>
        <v>*</v>
      </c>
      <c r="D82" s="96" t="str">
        <f>IF(FN_MC!S83="","*",FN_MC!S83)</f>
        <v>MALHA CENTRAL</v>
      </c>
      <c r="E82" s="96" t="str">
        <f>IF(FN_MC!T83="","*",FN_MC!T83)</f>
        <v>PPN-POV</v>
      </c>
      <c r="F82" s="96">
        <f>IF(FN_MC!B83="","*",FN_MC!B83)</f>
        <v>46062</v>
      </c>
      <c r="G82" s="96" t="str">
        <f>IF(FN_MC!D83="","*",FN_MC!D83)</f>
        <v xml:space="preserve">TURMA FIXA VIA </v>
      </c>
      <c r="H82" s="96" t="str">
        <f>IF(FN_MC!F83="","*",FN_MC!F83)</f>
        <v>PDM - SUBSTITUIÇÃO - TRILHO</v>
      </c>
      <c r="I82" s="96" t="str">
        <f>IF(FN_MC!H83="","*",FN_MC!H83)</f>
        <v>POVPJA</v>
      </c>
      <c r="J82" s="96" t="str">
        <f>IF(FN_MC!I83="","*",FN_MC!I83)</f>
        <v>-</v>
      </c>
      <c r="K82" s="96" t="str">
        <f>IF(FN_MC!M83="","*",FN_MC!M83)</f>
        <v>PJA-POV</v>
      </c>
      <c r="L82" s="196" t="str">
        <f>IF(FN_MC!N83="","*",FN_MC!N83)</f>
        <v>POVPJA</v>
      </c>
      <c r="M82" s="97">
        <f>IF(FN_MC!J83="","*",FN_MC!J83)</f>
        <v>101</v>
      </c>
      <c r="N82" s="183">
        <f>IF(FN_MC!K83="","*",FN_MC!K83)</f>
        <v>1519.6</v>
      </c>
      <c r="O82" s="183" t="str">
        <f>IF(FN_MC!L83="","*",FN_MC!L83)</f>
        <v>-</v>
      </c>
      <c r="P82" s="107">
        <f>IF(FN_MC!O83="","*",FN_MC!O83)</f>
        <v>0.52083333333333337</v>
      </c>
      <c r="Q82" s="107">
        <f>IF(FN_MC!P83="","*",FN_MC!P83)</f>
        <v>8.3333333333333329E-2</v>
      </c>
      <c r="R82" s="96" t="str">
        <f>IF(FN_MC!Q83="","*",CONCATENATE(FN_MC!Q83," ",FN_MC!R83))</f>
        <v>8 M</v>
      </c>
      <c r="S82" s="96" t="str">
        <f>IF(FN_MC!V83="","*",FN_MC!V83)</f>
        <v xml:space="preserve">Carlos </v>
      </c>
      <c r="T82" s="96" t="str">
        <f>IF(FN_MC!W83="","*",FN_MC!W83)</f>
        <v xml:space="preserve">Execução de solda - Condicionado a temperatura </v>
      </c>
      <c r="U82" s="98" t="str">
        <f ca="1">_xlfn.XLOOKUP(G82&amp;$U$3,BS_CONTROLE[CHAVE],BS_CONTROLE[Quantidade_11],"-")</f>
        <v>-</v>
      </c>
      <c r="V82" s="98">
        <f ca="1">_xlfn.XLOOKUP(G82&amp;$V$3,BS_CONTROLE[CHAVE],BS_CONTROLE[Quantidade_11],"-")</f>
        <v>8</v>
      </c>
      <c r="W82" s="98" t="str">
        <f ca="1">_xlfn.XLOOKUP(G82&amp;$W$3,BS_CONTROLE[CHAVE],BS_CONTROLE[Quantidade_11],"-")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SIM</v>
      </c>
      <c r="B83" s="95" t="str">
        <f>IF(FN_MC!X84="","*",FN_MC!X84)</f>
        <v>Contrato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46063</v>
      </c>
      <c r="G83" s="96" t="str">
        <f>IF(FN_MC!D84="","*",FN_MC!D84)</f>
        <v>V86</v>
      </c>
      <c r="H83" s="96" t="str">
        <f>IF(FN_MC!F84="","*",FN_MC!F84)</f>
        <v>MECANIZAÇÃO - SOCADORA</v>
      </c>
      <c r="I83" s="96" t="str">
        <f>IF(FN_MC!H84="","*",FN_MC!H84)</f>
        <v>TSF</v>
      </c>
      <c r="J83" s="96" t="str">
        <f>IF(FN_MC!I84="","*",FN_MC!I84)</f>
        <v>TSF</v>
      </c>
      <c r="K83" s="96" t="str">
        <f>IF(FN_MC!M84="","*",FN_MC!M84)</f>
        <v>TAL-TSF</v>
      </c>
      <c r="L83" s="196" t="str">
        <f>IF(FN_MC!N84="","*",FN_MC!N84)</f>
        <v>710TSF</v>
      </c>
      <c r="M83" s="97">
        <f>IF(FN_MC!J84="","*",FN_MC!J84)</f>
        <v>98</v>
      </c>
      <c r="N83" s="183">
        <f>IF(FN_MC!K84="","*",FN_MC!K84)</f>
        <v>710.1</v>
      </c>
      <c r="O83" s="183">
        <f>IF(FN_MC!L84="","*",FN_MC!L84)</f>
        <v>713</v>
      </c>
      <c r="P83" s="107">
        <f>IF(FN_MC!O84="","*",FN_MC!O84)</f>
        <v>0.4375</v>
      </c>
      <c r="Q83" s="107">
        <f>IF(FN_MC!P84="","*",FN_MC!P84)</f>
        <v>0.125</v>
      </c>
      <c r="R83" s="96" t="str">
        <f>IF(FN_MC!Q84="","*",CONCATENATE(FN_MC!Q84," ",FN_MC!R84))</f>
        <v>1680 M</v>
      </c>
      <c r="S83" s="96" t="str">
        <f>IF(FN_MC!V84="","*",FN_MC!V84)</f>
        <v>Antonioni</v>
      </c>
      <c r="T83" s="232" t="str">
        <f>IF(FN_MC!W84="","*",FN_MC!W84)</f>
        <v xml:space="preserve">
</v>
      </c>
      <c r="U83" s="98">
        <f ca="1">_xlfn.XLOOKUP(G83&amp;$U$3,BS_CONTROLE[CHAVE],BS_CONTROLE[Quantidade_11],"-")</f>
        <v>4512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IF(FN_MC!Y85="","*",FN_MC!Y85)</f>
        <v>OPORTUNIDADE</v>
      </c>
      <c r="B84" s="95" t="str">
        <f>IF(FN_MC!X85="","*",FN_MC!X85)</f>
        <v>Oportunidade</v>
      </c>
      <c r="C84" s="95" t="str">
        <f>IF(FN_MC!Z85="","*",FN_MC!Z85)</f>
        <v>*</v>
      </c>
      <c r="D84" s="96" t="str">
        <f>IF(FN_MC!S85="","*",FN_MC!S85)</f>
        <v>FERRONORTE</v>
      </c>
      <c r="E84" s="96" t="str">
        <f>IF(FN_MC!T85="","*",FN_MC!T85)</f>
        <v>TGR-TRO</v>
      </c>
      <c r="F84" s="96">
        <f>IF(FN_MC!B85="","*",FN_MC!B85)</f>
        <v>46063</v>
      </c>
      <c r="G84" s="96" t="str">
        <f>IF(FN_MC!D85="","*",FN_MC!D85)</f>
        <v>W70</v>
      </c>
      <c r="H84" s="96" t="str">
        <f>IF(FN_MC!F85="","*",FN_MC!F85)</f>
        <v>PDM - PEDRA - DESCARGA</v>
      </c>
      <c r="I84" s="96" t="str">
        <f>IF(FN_MC!H85="","*",FN_MC!H85)</f>
        <v>TIQ</v>
      </c>
      <c r="J84" s="96" t="str">
        <f>IF(FN_MC!I85="","*",FN_MC!I85)</f>
        <v>TGR2</v>
      </c>
      <c r="K84" s="96" t="str">
        <f>IF(FN_MC!M85="","*",FN_MC!M85)</f>
        <v>TAL-TSF</v>
      </c>
      <c r="L84" s="196">
        <f>IF(FN_MC!N85="","*",FN_MC!N85)</f>
        <v>699710</v>
      </c>
      <c r="M84" s="97">
        <f>IF(FN_MC!J85="","*",FN_MC!J85)</f>
        <v>98</v>
      </c>
      <c r="N84" s="183">
        <f>IF(FN_MC!K85="","*",FN_MC!K85)</f>
        <v>704</v>
      </c>
      <c r="O84" s="183">
        <f>IF(FN_MC!L85="","*",FN_MC!L85)</f>
        <v>706</v>
      </c>
      <c r="P84" s="107">
        <f>IF(FN_MC!O85="","*",FN_MC!O85)</f>
        <v>0.375</v>
      </c>
      <c r="Q84" s="107">
        <f>IF(FN_MC!P85="","*",FN_MC!P85)</f>
        <v>0.125</v>
      </c>
      <c r="R84" s="96" t="str">
        <f>IF(FN_MC!Q85="","*",CONCATENATE(FN_MC!Q85," ",FN_MC!R85))</f>
        <v>27 VAGÕES</v>
      </c>
      <c r="S84" s="96" t="str">
        <f>IF(FN_MC!V85="","*",FN_MC!V85)</f>
        <v xml:space="preserve">Camila </v>
      </c>
      <c r="T84" s="232" t="str">
        <f>IF(FN_MC!W85="","*",FN_MC!W85)</f>
        <v xml:space="preserve">Descarga de pedra </v>
      </c>
      <c r="U84" s="98">
        <f ca="1">_xlfn.XLOOKUP(G84&amp;$U$3,BS_CONTROLE[CHAVE],BS_CONTROLE[Quantidade_11],"-")</f>
        <v>27</v>
      </c>
      <c r="V84" s="98">
        <f ca="1">_xlfn.XLOOKUP(G84&amp;$V$3,BS_CONTROLE[CHAVE],BS_CONTROLE[Quantidade_11],"-")</f>
        <v>0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IF(FN_MC!Y86="","*",FN_MC!Y86)</f>
        <v>*</v>
      </c>
      <c r="B85" s="95" t="str">
        <f>IF(FN_MC!X86="","*",FN_MC!X86)</f>
        <v>*</v>
      </c>
      <c r="C85" s="95" t="str">
        <f>IF(FN_MC!Z86="","*",FN_MC!Z86)</f>
        <v>*</v>
      </c>
      <c r="D85" s="96" t="str">
        <f>IF(FN_MC!S86="","*",FN_MC!S86)</f>
        <v>-</v>
      </c>
      <c r="E85" s="96" t="str">
        <f>IF(FN_MC!T86="","*",FN_MC!T86)</f>
        <v>-</v>
      </c>
      <c r="F85" s="96" t="str">
        <f>IF(FN_MC!B86="","*",FN_MC!B86)</f>
        <v>*</v>
      </c>
      <c r="G85" s="96" t="str">
        <f>IF(FN_MC!D86="","*",FN_MC!D86)</f>
        <v>*</v>
      </c>
      <c r="H85" s="96" t="str">
        <f>IF(FN_MC!F86="","*",FN_MC!F86)</f>
        <v>*</v>
      </c>
      <c r="I85" s="96" t="str">
        <f>IF(FN_MC!H86="","*",FN_MC!H86)</f>
        <v>*</v>
      </c>
      <c r="J85" s="96" t="str">
        <f>IF(FN_MC!I86="","*",FN_MC!I86)</f>
        <v>*</v>
      </c>
      <c r="K85" s="96" t="str">
        <f>IF(FN_MC!M86="","*",FN_MC!M86)</f>
        <v>-</v>
      </c>
      <c r="L85" s="196" t="str">
        <f>IF(FN_MC!N86="","*",FN_MC!N86)</f>
        <v>-</v>
      </c>
      <c r="M85" s="97" t="str">
        <f>IF(FN_MC!J86="","*",FN_MC!J86)</f>
        <v>*</v>
      </c>
      <c r="N85" s="183" t="str">
        <f>IF(FN_MC!K86="","*",FN_MC!K86)</f>
        <v>*</v>
      </c>
      <c r="O85" s="183" t="str">
        <f>IF(FN_MC!L86="","*",FN_MC!L86)</f>
        <v>-</v>
      </c>
      <c r="P85" s="107" t="str">
        <f>IF(FN_MC!O86="","*",FN_MC!O86)</f>
        <v>*</v>
      </c>
      <c r="Q85" s="107" t="str">
        <f>IF(FN_MC!P86="","*",FN_MC!P86)</f>
        <v>*</v>
      </c>
      <c r="R85" s="96" t="str">
        <f>IF(FN_MC!Q86="","*",CONCATENATE(FN_MC!Q86," ",FN_MC!R86))</f>
        <v>*</v>
      </c>
      <c r="S85" s="96" t="str">
        <f>IF(FN_MC!V86="","*",FN_MC!V86)</f>
        <v>*</v>
      </c>
      <c r="T85" s="96" t="str">
        <f>IF(FN_MC!W86="","*",FN_MC!W86)</f>
        <v>*</v>
      </c>
      <c r="U85" s="98" t="str">
        <f ca="1">_xlfn.XLOOKUP(G85&amp;$U$3,BS_CONTROLE[CHAVE],BS_CONTROLE[Quantidade_11],"-")</f>
        <v>-</v>
      </c>
      <c r="V85" s="98" t="str">
        <f ca="1">_xlfn.XLOOKUP(G85&amp;$V$3,BS_CONTROLE[CHAVE],BS_CONTROLE[Quantidade_11],"-")</f>
        <v>-</v>
      </c>
      <c r="W85" s="98" t="str">
        <f ca="1">_xlfn.XLOOKUP(G85&amp;$W$3,BS_CONTROLE[CHAVE],BS_CONTROLE[Quantidade_11],"-")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IF(FN_MC!Y87="","*",FN_MC!Y87)</f>
        <v>OPORTUNIDADE</v>
      </c>
      <c r="B86" s="95" t="str">
        <f>IF(FN_MC!X87="","*",FN_MC!X87)</f>
        <v>Oportunidade</v>
      </c>
      <c r="C86" s="95" t="str">
        <f>IF(FN_MC!Z87="","*",FN_MC!Z87)</f>
        <v>*</v>
      </c>
      <c r="D86" s="96" t="str">
        <f>IF(FN_MC!S87="","*",FN_MC!S87)</f>
        <v>FERRONORTE</v>
      </c>
      <c r="E86" s="96" t="str">
        <f>IF(FN_MC!T87="","*",FN_MC!T87)</f>
        <v>TGR-TRO</v>
      </c>
      <c r="F86" s="96">
        <f>IF(FN_MC!B87="","*",FN_MC!B87)</f>
        <v>46063</v>
      </c>
      <c r="G86" s="96" t="str">
        <f>IF(FN_MC!D87="","*",FN_MC!D87)</f>
        <v>BRUNO (TF-525)</v>
      </c>
      <c r="H86" s="96" t="str">
        <f>IF(FN_MC!F87="","*",FN_MC!F87)</f>
        <v>PDM - SOLDA</v>
      </c>
      <c r="I86" s="96" t="str">
        <f>IF(FN_MC!H87="","*",FN_MC!H87)</f>
        <v>TRM</v>
      </c>
      <c r="J86" s="96" t="str">
        <f>IF(FN_MC!I87="","*",FN_MC!I87)</f>
        <v>-</v>
      </c>
      <c r="K86" s="96" t="str">
        <f>IF(FN_MC!M87="","*",FN_MC!M87)</f>
        <v>TRM</v>
      </c>
      <c r="L86" s="196" t="str">
        <f>IF(FN_MC!N87="","*",FN_MC!N87)</f>
        <v>TRMS</v>
      </c>
      <c r="M86" s="97">
        <f>IF(FN_MC!J87="","*",FN_MC!J87)</f>
        <v>98</v>
      </c>
      <c r="N86" s="183">
        <f>IF(FN_MC!K87="","*",FN_MC!K87)</f>
        <v>548.16</v>
      </c>
      <c r="O86" s="183" t="str">
        <f>IF(FN_MC!L87="","*",FN_MC!L87)</f>
        <v>-</v>
      </c>
      <c r="P86" s="107">
        <f>IF(FN_MC!O87="","*",FN_MC!O87)</f>
        <v>0.375</v>
      </c>
      <c r="Q86" s="107">
        <f>IF(FN_MC!P87="","*",FN_MC!P87)</f>
        <v>6.25E-2</v>
      </c>
      <c r="R86" s="96" t="str">
        <f>IF(FN_MC!Q87="","*",CONCATENATE(FN_MC!Q87," ",FN_MC!R87))</f>
        <v>1 Nº DE SOLDA</v>
      </c>
      <c r="S86" s="96" t="str">
        <f>IF(FN_MC!V87="","*",FN_MC!V87)</f>
        <v>Bruno</v>
      </c>
      <c r="T86" s="232" t="str">
        <f>IF(FN_MC!W87="","*",FN_MC!W87)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IF(FN_MC!Y88="","*",FN_MC!Y88)</f>
        <v>SIM</v>
      </c>
      <c r="B87" s="95" t="str">
        <f>IF(FN_MC!X88="","*",FN_MC!X88)</f>
        <v>Contrato</v>
      </c>
      <c r="C87" s="95" t="str">
        <f>IF(FN_MC!Z88="","*",FN_MC!Z88)</f>
        <v>*</v>
      </c>
      <c r="D87" s="96" t="str">
        <f>IF(FN_MC!S88="","*",FN_MC!S88)</f>
        <v>FERRONORTE</v>
      </c>
      <c r="E87" s="96" t="str">
        <f>IF(FN_MC!T88="","*",FN_MC!T88)</f>
        <v>TCS-TGR</v>
      </c>
      <c r="F87" s="96">
        <f>IF(FN_MC!B88="","*",FN_MC!B88)</f>
        <v>46063</v>
      </c>
      <c r="G87" s="96" t="str">
        <f>IF(FN_MC!D88="","*",FN_MC!D88)</f>
        <v>ELSON (TF-526)</v>
      </c>
      <c r="H87" s="96" t="str">
        <f>IF(FN_MC!F88="","*",FN_MC!F88)</f>
        <v>PDM - SOLDA</v>
      </c>
      <c r="I87" s="96" t="str">
        <f>IF(FN_MC!H88="","*",FN_MC!H88)</f>
        <v>TPC440</v>
      </c>
      <c r="J87" s="96" t="str">
        <f>IF(FN_MC!I88="","*",FN_MC!I88)</f>
        <v>-</v>
      </c>
      <c r="K87" s="96" t="str">
        <f>IF(FN_MC!M88="","*",FN_MC!M88)</f>
        <v>TPC-TVL</v>
      </c>
      <c r="L87" s="196" t="str">
        <f>IF(FN_MC!N88="","*",FN_MC!N88)</f>
        <v>TPC440</v>
      </c>
      <c r="M87" s="97">
        <f>IF(FN_MC!J88="","*",FN_MC!J88)</f>
        <v>74</v>
      </c>
      <c r="N87" s="183">
        <f>IF(FN_MC!K88="","*",FN_MC!K88)</f>
        <v>430.26799999999997</v>
      </c>
      <c r="O87" s="183" t="str">
        <f>IF(FN_MC!L88="","*",FN_MC!L88)</f>
        <v>-</v>
      </c>
      <c r="P87" s="107">
        <f>IF(FN_MC!O88="","*",FN_MC!O88)</f>
        <v>0.375</v>
      </c>
      <c r="Q87" s="107">
        <f>IF(FN_MC!P88="","*",FN_MC!P88)</f>
        <v>0.125</v>
      </c>
      <c r="R87" s="96" t="str">
        <f>IF(FN_MC!Q88="","*",CONCATENATE(FN_MC!Q88," ",FN_MC!R88))</f>
        <v>2 Nº DE SOLDA</v>
      </c>
      <c r="S87" s="96" t="str">
        <f>IF(FN_MC!V88="","*",FN_MC!V88)</f>
        <v>Elson</v>
      </c>
      <c r="T87" s="232" t="str">
        <f>IF(FN_MC!W88="","*",FN_MC!W88)</f>
        <v xml:space="preserve">Execução de solda - Condicionado a temperatura </v>
      </c>
      <c r="U87" s="98">
        <f ca="1">_xlfn.XLOOKUP(G87&amp;$U$3,BS_CONTROLE[CHAVE],BS_CONTROLE[Quantidade_11],"-")</f>
        <v>0</v>
      </c>
      <c r="V87" s="98">
        <f ca="1">_xlfn.XLOOKUP(G87&amp;$V$3,BS_CONTROLE[CHAVE],BS_CONTROLE[Quantidade_11],"-")</f>
        <v>0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IF(FN_MC!Y89="","*",FN_MC!Y89)</f>
        <v>*</v>
      </c>
      <c r="B88" s="95" t="str">
        <f>IF(FN_MC!X89="","*",FN_MC!X89)</f>
        <v>*</v>
      </c>
      <c r="C88" s="95" t="str">
        <f>IF(FN_MC!Z89="","*",FN_MC!Z89)</f>
        <v>*</v>
      </c>
      <c r="D88" s="96" t="str">
        <f>IF(FN_MC!S89="","*",FN_MC!S89)</f>
        <v>-</v>
      </c>
      <c r="E88" s="96" t="str">
        <f>IF(FN_MC!T89="","*",FN_MC!T89)</f>
        <v>-</v>
      </c>
      <c r="F88" s="96" t="str">
        <f>IF(FN_MC!B89="","*",FN_MC!B89)</f>
        <v>*</v>
      </c>
      <c r="G88" s="96" t="str">
        <f>IF(FN_MC!D89="","*",FN_MC!D89)</f>
        <v>*</v>
      </c>
      <c r="H88" s="96" t="str">
        <f>IF(FN_MC!F89="","*",FN_MC!F89)</f>
        <v>*</v>
      </c>
      <c r="I88" s="96" t="str">
        <f>IF(FN_MC!H89="","*",FN_MC!H89)</f>
        <v>*</v>
      </c>
      <c r="J88" s="96" t="str">
        <f>IF(FN_MC!I89="","*",FN_MC!I89)</f>
        <v>*</v>
      </c>
      <c r="K88" s="96" t="str">
        <f>IF(FN_MC!M89="","*",FN_MC!M89)</f>
        <v>-</v>
      </c>
      <c r="L88" s="196" t="str">
        <f>IF(FN_MC!N89="","*",FN_MC!N89)</f>
        <v>-</v>
      </c>
      <c r="M88" s="97" t="str">
        <f>IF(FN_MC!J89="","*",FN_MC!J89)</f>
        <v>*</v>
      </c>
      <c r="N88" s="183" t="str">
        <f>IF(FN_MC!K89="","*",FN_MC!K89)</f>
        <v>*</v>
      </c>
      <c r="O88" s="183" t="str">
        <f>IF(FN_MC!L89="","*",FN_MC!L89)</f>
        <v>-</v>
      </c>
      <c r="P88" s="107" t="str">
        <f>IF(FN_MC!O89="","*",FN_MC!O89)</f>
        <v>*</v>
      </c>
      <c r="Q88" s="107" t="str">
        <f>IF(FN_MC!P89="","*",FN_MC!P89)</f>
        <v>*</v>
      </c>
      <c r="R88" s="96" t="str">
        <f>IF(FN_MC!Q89="","*",CONCATENATE(FN_MC!Q89," ",FN_MC!R89))</f>
        <v>*</v>
      </c>
      <c r="S88" s="96" t="str">
        <f>IF(FN_MC!V89="","*",FN_MC!V89)</f>
        <v>*</v>
      </c>
      <c r="T88" s="96" t="str">
        <f>IF(FN_MC!W89="","*",FN_MC!W89)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IF(FN_MC!Y90="","*",FN_MC!Y90)</f>
        <v>*</v>
      </c>
      <c r="B89" s="95" t="str">
        <f>IF(FN_MC!X90="","*",FN_MC!X90)</f>
        <v>*</v>
      </c>
      <c r="C89" s="95" t="str">
        <f>IF(FN_MC!Z90="","*",FN_MC!Z90)</f>
        <v>*</v>
      </c>
      <c r="D89" s="96" t="str">
        <f>IF(FN_MC!S90="","*",FN_MC!S90)</f>
        <v>-</v>
      </c>
      <c r="E89" s="96" t="str">
        <f>IF(FN_MC!T90="","*",FN_MC!T90)</f>
        <v>-</v>
      </c>
      <c r="F89" s="96" t="str">
        <f>IF(FN_MC!B90="","*",FN_MC!B90)</f>
        <v>*</v>
      </c>
      <c r="G89" s="96" t="str">
        <f>IF(FN_MC!D90="","*",FN_MC!D90)</f>
        <v>*</v>
      </c>
      <c r="H89" s="96" t="str">
        <f>IF(FN_MC!F90="","*",FN_MC!F90)</f>
        <v>*</v>
      </c>
      <c r="I89" s="96" t="str">
        <f>IF(FN_MC!H90="","*",FN_MC!H90)</f>
        <v>*</v>
      </c>
      <c r="J89" s="96" t="str">
        <f>IF(FN_MC!I90="","*",FN_MC!I90)</f>
        <v>*</v>
      </c>
      <c r="K89" s="96" t="str">
        <f>IF(FN_MC!M90="","*",FN_MC!M90)</f>
        <v>-</v>
      </c>
      <c r="L89" s="196" t="str">
        <f>IF(FN_MC!N90="","*",FN_MC!N90)</f>
        <v>-</v>
      </c>
      <c r="M89" s="97" t="str">
        <f>IF(FN_MC!J90="","*",FN_MC!J90)</f>
        <v>*</v>
      </c>
      <c r="N89" s="183" t="str">
        <f>IF(FN_MC!K90="","*",FN_MC!K90)</f>
        <v>*</v>
      </c>
      <c r="O89" s="183" t="str">
        <f>IF(FN_MC!L90="","*",FN_MC!L90)</f>
        <v>-</v>
      </c>
      <c r="P89" s="107" t="str">
        <f>IF(FN_MC!O90="","*",FN_MC!O90)</f>
        <v>*</v>
      </c>
      <c r="Q89" s="107" t="str">
        <f>IF(FN_MC!P90="","*",FN_MC!P90)</f>
        <v>*</v>
      </c>
      <c r="R89" s="96" t="str">
        <f>IF(FN_MC!Q90="","*",CONCATENATE(FN_MC!Q90," ",FN_MC!R90))</f>
        <v>*</v>
      </c>
      <c r="S89" s="96" t="str">
        <f>IF(FN_MC!V90="","*",FN_MC!V90)</f>
        <v>*</v>
      </c>
      <c r="T89" s="96" t="str">
        <f>IF(FN_MC!W90="","*",FN_MC!W90)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IF(FN_MC!Y91="","*",FN_MC!Y91)</f>
        <v>*</v>
      </c>
      <c r="B90" s="95" t="str">
        <f>IF(FN_MC!X91="","*",FN_MC!X91)</f>
        <v>*</v>
      </c>
      <c r="C90" s="95" t="str">
        <f>IF(FN_MC!Z91="","*",FN_MC!Z91)</f>
        <v>*</v>
      </c>
      <c r="D90" s="96" t="str">
        <f>IF(FN_MC!S91="","*",FN_MC!S91)</f>
        <v>-</v>
      </c>
      <c r="E90" s="96" t="str">
        <f>IF(FN_MC!T91="","*",FN_MC!T91)</f>
        <v>-</v>
      </c>
      <c r="F90" s="96" t="str">
        <f>IF(FN_MC!B91="","*",FN_MC!B91)</f>
        <v>*</v>
      </c>
      <c r="G90" s="96" t="str">
        <f>IF(FN_MC!D91="","*",FN_MC!D91)</f>
        <v>*</v>
      </c>
      <c r="H90" s="96" t="str">
        <f>IF(FN_MC!F91="","*",FN_MC!F91)</f>
        <v>*</v>
      </c>
      <c r="I90" s="96" t="str">
        <f>IF(FN_MC!H91="","*",FN_MC!H91)</f>
        <v>*</v>
      </c>
      <c r="J90" s="96" t="str">
        <f>IF(FN_MC!I91="","*",FN_MC!I91)</f>
        <v>*</v>
      </c>
      <c r="K90" s="96" t="str">
        <f>IF(FN_MC!M91="","*",FN_MC!M91)</f>
        <v>-</v>
      </c>
      <c r="L90" s="196" t="str">
        <f>IF(FN_MC!N91="","*",FN_MC!N91)</f>
        <v>-</v>
      </c>
      <c r="M90" s="97" t="str">
        <f>IF(FN_MC!J91="","*",FN_MC!J91)</f>
        <v>*</v>
      </c>
      <c r="N90" s="183" t="str">
        <f>IF(FN_MC!K91="","*",FN_MC!K91)</f>
        <v>*</v>
      </c>
      <c r="O90" s="183" t="str">
        <f>IF(FN_MC!L91="","*",FN_MC!L91)</f>
        <v>-</v>
      </c>
      <c r="P90" s="107" t="str">
        <f>IF(FN_MC!O91="","*",FN_MC!O91)</f>
        <v>*</v>
      </c>
      <c r="Q90" s="107" t="str">
        <f>IF(FN_MC!P91="","*",FN_MC!P91)</f>
        <v>*</v>
      </c>
      <c r="R90" s="96" t="str">
        <f>IF(FN_MC!Q91="","*",CONCATENATE(FN_MC!Q91," ",FN_MC!R91))</f>
        <v>*</v>
      </c>
      <c r="S90" s="96" t="str">
        <f>IF(FN_MC!V91="","*",FN_MC!V91)</f>
        <v>*</v>
      </c>
      <c r="T90" s="96" t="str">
        <f>IF(FN_MC!W91="","*",FN_MC!W91)</f>
        <v>*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IF(FN_MC!Y92="","*",FN_MC!Y92)</f>
        <v>SIM</v>
      </c>
      <c r="B91" s="95" t="str">
        <f>IF(FN_MC!X92="","*",FN_MC!X92)</f>
        <v>Contrato</v>
      </c>
      <c r="C91" s="95" t="str">
        <f>IF(FN_MC!Z92="","*",FN_MC!Z92)</f>
        <v>*</v>
      </c>
      <c r="D91" s="96" t="str">
        <f>IF(FN_MC!S92="","*",FN_MC!S92)</f>
        <v>FERRONORTE</v>
      </c>
      <c r="E91" s="96" t="str">
        <f>IF(FN_MC!T92="","*",FN_MC!T92)</f>
        <v>TMI-TCS</v>
      </c>
      <c r="F91" s="96">
        <f>IF(FN_MC!B92="","*",FN_MC!B92)</f>
        <v>46063</v>
      </c>
      <c r="G91" s="96" t="str">
        <f>IF(FN_MC!D92="","*",FN_MC!D92)</f>
        <v>W50</v>
      </c>
      <c r="H91" s="96" t="str">
        <f>IF(FN_MC!F92="","*",FN_MC!F92)</f>
        <v>MODERNIZAÇÃO - DESCARGA - TRILHO</v>
      </c>
      <c r="I91" s="96" t="str">
        <f>IF(FN_MC!H92="","*",FN_MC!H92)</f>
        <v>TCS</v>
      </c>
      <c r="J91" s="96" t="str">
        <f>IF(FN_MC!I92="","*",FN_MC!I92)</f>
        <v>TCS2</v>
      </c>
      <c r="K91" s="96" t="str">
        <f>IF(FN_MC!M92="","*",FN_MC!M92)</f>
        <v>TVI-TJA</v>
      </c>
      <c r="L91" s="196" t="str">
        <f>IF(FN_MC!N92="","*",FN_MC!N92)</f>
        <v>251TJA</v>
      </c>
      <c r="M91" s="97">
        <f>IF(FN_MC!J92="","*",FN_MC!J92)</f>
        <v>74</v>
      </c>
      <c r="N91" s="183">
        <f>IF(FN_MC!K92="","*",FN_MC!K92)</f>
        <v>260</v>
      </c>
      <c r="O91" s="183">
        <f>IF(FN_MC!L92="","*",FN_MC!L92)</f>
        <v>210</v>
      </c>
      <c r="P91" s="107">
        <f>IF(FN_MC!O92="","*",FN_MC!O92)</f>
        <v>0.35416666666666669</v>
      </c>
      <c r="Q91" s="107">
        <f>IF(FN_MC!P92="","*",FN_MC!P92)</f>
        <v>0.16666666666666666</v>
      </c>
      <c r="R91" s="96" t="str">
        <f>IF(FN_MC!Q92="","*",CONCATENATE(FN_MC!Q92," ",FN_MC!R92))</f>
        <v>4 Nº DE BARRAS</v>
      </c>
      <c r="S91" s="96" t="str">
        <f>IF(FN_MC!V92="","*",FN_MC!V92)</f>
        <v>Augusto/ Efraim</v>
      </c>
      <c r="T91" s="232" t="str">
        <f>IF(FN_MC!W92="","*",FN_MC!W92)</f>
        <v>Descarga de 4 barras e RECOLHA DE DORMENTES</v>
      </c>
      <c r="U91" s="98">
        <f ca="1">_xlfn.XLOOKUP(G91&amp;$U$3,BS_CONTROLE[CHAVE],BS_CONTROLE[Quantidade_11],"-")</f>
        <v>4</v>
      </c>
      <c r="V91" s="98">
        <f ca="1">_xlfn.XLOOKUP(G91&amp;$V$3,BS_CONTROLE[CHAVE],BS_CONTROLE[Quantidade_11],"-")</f>
        <v>0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IF(FN_MC!Y93="","*",FN_MC!Y93)</f>
        <v>*</v>
      </c>
      <c r="B92" s="95" t="str">
        <f>IF(FN_MC!X93="","*",FN_MC!X93)</f>
        <v>*</v>
      </c>
      <c r="C92" s="95" t="str">
        <f>IF(FN_MC!Z93="","*",FN_MC!Z93)</f>
        <v>*</v>
      </c>
      <c r="D92" s="96" t="str">
        <f>IF(FN_MC!S93="","*",FN_MC!S93)</f>
        <v>-</v>
      </c>
      <c r="E92" s="96" t="str">
        <f>IF(FN_MC!T93="","*",FN_MC!T93)</f>
        <v>-</v>
      </c>
      <c r="F92" s="96" t="str">
        <f>IF(FN_MC!B93="","*",FN_MC!B93)</f>
        <v>*</v>
      </c>
      <c r="G92" s="96" t="str">
        <f>IF(FN_MC!D93="","*",FN_MC!D93)</f>
        <v>*</v>
      </c>
      <c r="H92" s="96" t="str">
        <f>IF(FN_MC!F93="","*",FN_MC!F93)</f>
        <v>*</v>
      </c>
      <c r="I92" s="96" t="str">
        <f>IF(FN_MC!H93="","*",FN_MC!H93)</f>
        <v>*</v>
      </c>
      <c r="J92" s="96" t="str">
        <f>IF(FN_MC!I93="","*",FN_MC!I93)</f>
        <v>*</v>
      </c>
      <c r="K92" s="96" t="str">
        <f>IF(FN_MC!M93="","*",FN_MC!M93)</f>
        <v>-</v>
      </c>
      <c r="L92" s="196" t="str">
        <f>IF(FN_MC!N93="","*",FN_MC!N93)</f>
        <v>-</v>
      </c>
      <c r="M92" s="97" t="str">
        <f>IF(FN_MC!J93="","*",FN_MC!J93)</f>
        <v>*</v>
      </c>
      <c r="N92" s="183" t="str">
        <f>IF(FN_MC!K93="","*",FN_MC!K93)</f>
        <v>*</v>
      </c>
      <c r="O92" s="183" t="str">
        <f>IF(FN_MC!L93="","*",FN_MC!L93)</f>
        <v>-</v>
      </c>
      <c r="P92" s="107" t="str">
        <f>IF(FN_MC!O93="","*",FN_MC!O93)</f>
        <v>*</v>
      </c>
      <c r="Q92" s="107" t="str">
        <f>IF(FN_MC!P93="","*",FN_MC!P93)</f>
        <v>*</v>
      </c>
      <c r="R92" s="96" t="str">
        <f>IF(FN_MC!Q93="","*",CONCATENATE(FN_MC!Q93," ",FN_MC!R93))</f>
        <v>*</v>
      </c>
      <c r="S92" s="96" t="str">
        <f>IF(FN_MC!V93="","*",FN_MC!V93)</f>
        <v>*</v>
      </c>
      <c r="T92" s="96" t="str">
        <f>IF(FN_MC!W93="","*",FN_MC!W93)</f>
        <v>*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IF(FN_MC!Y94="","*",FN_MC!Y94)</f>
        <v>OPORTUNIDADE</v>
      </c>
      <c r="B93" s="95" t="str">
        <f>IF(FN_MC!X94="","*",FN_MC!X94)</f>
        <v>Oportunidade</v>
      </c>
      <c r="C93" s="95" t="str">
        <f>IF(FN_MC!Z94="","*",FN_MC!Z94)</f>
        <v>*</v>
      </c>
      <c r="D93" s="96" t="str">
        <f>IF(FN_MC!S94="","*",FN_MC!S94)</f>
        <v>FERRONORTE</v>
      </c>
      <c r="E93" s="96" t="str">
        <f>IF(FN_MC!T94="","*",FN_MC!T94)</f>
        <v>TMI-TCS</v>
      </c>
      <c r="F93" s="96">
        <f>IF(FN_MC!B94="","*",FN_MC!B94)</f>
        <v>46063</v>
      </c>
      <c r="G93" s="96" t="str">
        <f>IF(FN_MC!D94="","*",FN_MC!D94)</f>
        <v>V66</v>
      </c>
      <c r="H93" s="96" t="str">
        <f>IF(FN_MC!F94="","*",FN_MC!F94)</f>
        <v>MECANIZAÇÃO - SOCADORA</v>
      </c>
      <c r="I93" s="96" t="str">
        <f>IF(FN_MC!H94="","*",FN_MC!H94)</f>
        <v>TID2</v>
      </c>
      <c r="J93" s="96" t="str">
        <f>IF(FN_MC!I94="","*",FN_MC!I94)</f>
        <v>TID2</v>
      </c>
      <c r="K93" s="96" t="str">
        <f>IF(FN_MC!M94="","*",FN_MC!M94)</f>
        <v>TCE-TID</v>
      </c>
      <c r="L93" s="196" t="str">
        <f>IF(FN_MC!N94="","*",FN_MC!N94)</f>
        <v>TCE177</v>
      </c>
      <c r="M93" s="97">
        <f>IF(FN_MC!J94="","*",FN_MC!J94)</f>
        <v>74</v>
      </c>
      <c r="N93" s="183">
        <f>IF(FN_MC!K94="","*",FN_MC!K94)</f>
        <v>172</v>
      </c>
      <c r="O93" s="183">
        <f>IF(FN_MC!L94="","*",FN_MC!L94)</f>
        <v>173.5</v>
      </c>
      <c r="P93" s="107">
        <f>IF(FN_MC!O94="","*",FN_MC!O94)</f>
        <v>0.39583333333333331</v>
      </c>
      <c r="Q93" s="107">
        <f>IF(FN_MC!P94="","*",FN_MC!P94)</f>
        <v>6.25E-2</v>
      </c>
      <c r="R93" s="96" t="str">
        <f>IF(FN_MC!Q94="","*",CONCATENATE(FN_MC!Q94," ",FN_MC!R94))</f>
        <v>500 M</v>
      </c>
      <c r="S93" s="96" t="str">
        <f>IF(FN_MC!V94="","*",FN_MC!V94)</f>
        <v>Augusto/ Efraim</v>
      </c>
      <c r="T93" s="232" t="str">
        <f>IF(FN_MC!W94="","*",FN_MC!W94)</f>
        <v>Regulagem de brita</v>
      </c>
      <c r="U93" s="98">
        <f ca="1">_xlfn.XLOOKUP(G93&amp;$U$3,BS_CONTROLE[CHAVE],BS_CONTROLE[Quantidade_11],"-")</f>
        <v>1000</v>
      </c>
      <c r="V93" s="98">
        <f ca="1">_xlfn.XLOOKUP(G93&amp;$V$3,BS_CONTROLE[CHAVE],BS_CONTROLE[Quantidade_11],"-")</f>
        <v>0</v>
      </c>
      <c r="W93" s="98">
        <f ca="1">_xlfn.XLOOKUP(G93&amp;$W$3,BS_CONTROLE[CHAVE],BS_CONTROLE[Quantidade_11],"-")</f>
        <v>1000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IF(FN_MC!Y95="","*",FN_MC!Y95)</f>
        <v>*</v>
      </c>
      <c r="B94" s="95" t="str">
        <f>IF(FN_MC!X95="","*",FN_MC!X95)</f>
        <v>*</v>
      </c>
      <c r="C94" s="95" t="str">
        <f>IF(FN_MC!Z95="","*",FN_MC!Z95)</f>
        <v>*</v>
      </c>
      <c r="D94" s="96" t="str">
        <f>IF(FN_MC!S95="","*",FN_MC!S95)</f>
        <v>-</v>
      </c>
      <c r="E94" s="96" t="str">
        <f>IF(FN_MC!T95="","*",FN_MC!T95)</f>
        <v>-</v>
      </c>
      <c r="F94" s="96" t="str">
        <f>IF(FN_MC!B95="","*",FN_MC!B95)</f>
        <v>*</v>
      </c>
      <c r="G94" s="96" t="str">
        <f>IF(FN_MC!D95="","*",FN_MC!D95)</f>
        <v>*</v>
      </c>
      <c r="H94" s="96" t="str">
        <f>IF(FN_MC!F95="","*",FN_MC!F95)</f>
        <v>*</v>
      </c>
      <c r="I94" s="96" t="str">
        <f>IF(FN_MC!H95="","*",FN_MC!H95)</f>
        <v>*</v>
      </c>
      <c r="J94" s="96" t="str">
        <f>IF(FN_MC!I95="","*",FN_MC!I95)</f>
        <v>*</v>
      </c>
      <c r="K94" s="96" t="str">
        <f>IF(FN_MC!M95="","*",FN_MC!M95)</f>
        <v>-</v>
      </c>
      <c r="L94" s="196" t="str">
        <f>IF(FN_MC!N95="","*",FN_MC!N95)</f>
        <v>-</v>
      </c>
      <c r="M94" s="97" t="str">
        <f>IF(FN_MC!J95="","*",FN_MC!J95)</f>
        <v>*</v>
      </c>
      <c r="N94" s="183" t="str">
        <f>IF(FN_MC!K95="","*",FN_MC!K95)</f>
        <v>*</v>
      </c>
      <c r="O94" s="183" t="str">
        <f>IF(FN_MC!L95="","*",FN_MC!L95)</f>
        <v>-</v>
      </c>
      <c r="P94" s="107" t="str">
        <f>IF(FN_MC!O95="","*",FN_MC!O95)</f>
        <v>*</v>
      </c>
      <c r="Q94" s="107" t="str">
        <f>IF(FN_MC!P95="","*",FN_MC!P95)</f>
        <v>*</v>
      </c>
      <c r="R94" s="96" t="str">
        <f>IF(FN_MC!Q95="","*",CONCATENATE(FN_MC!Q95," ",FN_MC!R95))</f>
        <v>*</v>
      </c>
      <c r="S94" s="96" t="str">
        <f>IF(FN_MC!V95="","*",FN_MC!V95)</f>
        <v>*</v>
      </c>
      <c r="T94" s="96" t="str">
        <f>IF(FN_MC!W95="","*",FN_MC!W95)</f>
        <v>*</v>
      </c>
      <c r="U94" s="98" t="str">
        <f ca="1">_xlfn.XLOOKUP(G94&amp;$U$3,BS_CONTROLE[CHAVE],BS_CONTROLE[Quantidade_11],"-")</f>
        <v>-</v>
      </c>
      <c r="V94" s="98" t="str">
        <f ca="1">_xlfn.XLOOKUP(G94&amp;$V$3,BS_CONTROLE[CHAVE],BS_CONTROLE[Quantidade_11],"-")</f>
        <v>-</v>
      </c>
      <c r="W94" s="98" t="str">
        <f ca="1">_xlfn.XLOOKUP(G94&amp;$W$3,BS_CONTROLE[CHAVE],BS_CONTROLE[Quantidade_11],"-")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IF(FN_MC!Y96="","*",FN_MC!Y96)</f>
        <v>OPORTUNIDADE</v>
      </c>
      <c r="B95" s="95" t="str">
        <f>IF(FN_MC!X96="","*",FN_MC!X96)</f>
        <v>Oportunidade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46063</v>
      </c>
      <c r="G95" s="96" t="str">
        <f>IF(FN_MC!D96="","*",FN_MC!D96)</f>
        <v>MARCOS (TF-520)</v>
      </c>
      <c r="H95" s="96" t="str">
        <f>IF(FN_MC!F96="","*",FN_MC!F96)</f>
        <v>PDM - SOLDA</v>
      </c>
      <c r="I95" s="96" t="str">
        <f>IF(FN_MC!H96="","*",FN_MC!H96)</f>
        <v>K52TQI</v>
      </c>
      <c r="J95" s="96" t="str">
        <f>IF(FN_MC!I96="","*",FN_MC!I96)</f>
        <v>-</v>
      </c>
      <c r="K95" s="96" t="str">
        <f>IF(FN_MC!M96="","*",FN_MC!M96)</f>
        <v>TLG-TQI</v>
      </c>
      <c r="L95" s="196" t="str">
        <f>IF(FN_MC!N96="","*",FN_MC!N96)</f>
        <v>K52TQI</v>
      </c>
      <c r="M95" s="97">
        <f>IF(FN_MC!J96="","*",FN_MC!J96)</f>
        <v>74</v>
      </c>
      <c r="N95" s="183">
        <f>IF(FN_MC!K96="","*",FN_MC!K96)</f>
        <v>54.53</v>
      </c>
      <c r="O95" s="183" t="str">
        <f>IF(FN_MC!L96="","*",FN_MC!L96)</f>
        <v>-</v>
      </c>
      <c r="P95" s="107">
        <f>IF(FN_MC!O96="","*",FN_MC!O96)</f>
        <v>0.375</v>
      </c>
      <c r="Q95" s="107">
        <f>IF(FN_MC!P96="","*",FN_MC!P96)</f>
        <v>0.125</v>
      </c>
      <c r="R95" s="96" t="str">
        <f>IF(FN_MC!Q96="","*",CONCATENATE(FN_MC!Q96," ",FN_MC!R96))</f>
        <v>2 Nº DE SOLDA</v>
      </c>
      <c r="S95" s="96" t="str">
        <f>IF(FN_MC!V96="","*",FN_MC!V96)</f>
        <v>Marcos Euzebio</v>
      </c>
      <c r="T95" s="232" t="str">
        <f>IF(FN_MC!W96="","*",FN_MC!W96)</f>
        <v xml:space="preserve">Execução de solda - Condicionado a temperatura </v>
      </c>
      <c r="U95" s="98">
        <f ca="1">_xlfn.XLOOKUP(G95&amp;$U$3,BS_CONTROLE[CHAVE],BS_CONTROLE[Quantidade_11],"-")</f>
        <v>0</v>
      </c>
      <c r="V95" s="98">
        <f ca="1">_xlfn.XLOOKUP(G95&amp;$V$3,BS_CONTROLE[CHAVE],BS_CONTROLE[Quantidade_11],"-")</f>
        <v>0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46063</v>
      </c>
      <c r="G96" s="96" t="str">
        <f>IF(FN_MC!D97="","*",FN_MC!D97)</f>
        <v>E46</v>
      </c>
      <c r="H96" s="96" t="str">
        <f>IF(FN_MC!F97="","*",FN_MC!F97)</f>
        <v>TRILHEIRO - DESCARGA</v>
      </c>
      <c r="I96" s="96" t="str">
        <f>IF(FN_MC!H97="","*",FN_MC!H97)</f>
        <v>TIN</v>
      </c>
      <c r="J96" s="96" t="str">
        <f>IF(FN_MC!I97="","*",FN_MC!I97)</f>
        <v>-</v>
      </c>
      <c r="K96" s="96" t="str">
        <f>IF(FN_MC!M97="","*",FN_MC!M97)</f>
        <v>TAP-TLG</v>
      </c>
      <c r="L96" s="196" t="str">
        <f>IF(FN_MC!N97="","*",FN_MC!N97)</f>
        <v>TAPK35</v>
      </c>
      <c r="M96" s="97">
        <f>IF(FN_MC!J97="","*",FN_MC!J97)</f>
        <v>74</v>
      </c>
      <c r="N96" s="183">
        <f>IF(FN_MC!K97="","*",FN_MC!K97)</f>
        <v>26.8</v>
      </c>
      <c r="O96" s="183" t="str">
        <f>IF(FN_MC!L97="","*",FN_MC!L97)</f>
        <v>-</v>
      </c>
      <c r="P96" s="107">
        <f>IF(FN_MC!O97="","*",FN_MC!O97)</f>
        <v>0.41666666666666669</v>
      </c>
      <c r="Q96" s="107">
        <f>IF(FN_MC!P97="","*",FN_MC!P97)</f>
        <v>4.1666666666666664E-2</v>
      </c>
      <c r="R96" s="96" t="str">
        <f>IF(FN_MC!Q97="","*",CONCATENATE(FN_MC!Q97," ",FN_MC!R97))</f>
        <v>936 M</v>
      </c>
      <c r="S96" s="96" t="str">
        <f>IF(FN_MC!V97="","*",FN_MC!V97)</f>
        <v xml:space="preserve">PCM </v>
      </c>
      <c r="T96" s="232" t="str">
        <f>IF(FN_MC!W97="","*",FN_MC!W97)</f>
        <v xml:space="preserve">
45 min em TIN2 pra formar cobra cega
Descarga de 3 barras no equipamento 74/026819-027555cv</v>
      </c>
      <c r="U96" s="98">
        <f ca="1">_xlfn.XLOOKUP(G96&amp;$U$3,BS_CONTROLE[CHAVE],BS_CONTROLE[Quantidade_11],"-")</f>
        <v>936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46063</v>
      </c>
      <c r="G97" s="96" t="str">
        <f>IF(FN_MC!D98="","*",FN_MC!D98)</f>
        <v>A60</v>
      </c>
      <c r="H97" s="96" t="str">
        <f>IF(FN_MC!F98="","*",FN_MC!F98)</f>
        <v>DETECÇÃO - RONDA 7 DIAS</v>
      </c>
      <c r="I97" s="96" t="str">
        <f>IF(FN_MC!H98="","*",FN_MC!H98)</f>
        <v>TMI</v>
      </c>
      <c r="J97" s="96" t="str">
        <f>IF(FN_MC!I98="","*",FN_MC!I98)</f>
        <v>TIN1</v>
      </c>
      <c r="K97" s="96" t="str">
        <f>IF(FN_MC!M98="","*",FN_MC!M98)</f>
        <v>TMI-TRP</v>
      </c>
      <c r="L97" s="196" t="str">
        <f>IF(FN_MC!N98="","*",FN_MC!N98)</f>
        <v>TMITRP</v>
      </c>
      <c r="M97" s="97">
        <f>IF(FN_MC!J98="","*",FN_MC!J98)</f>
        <v>74</v>
      </c>
      <c r="N97" s="183">
        <f>IF(FN_MC!K98="","*",FN_MC!K98)</f>
        <v>1</v>
      </c>
      <c r="O97" s="183">
        <f>IF(FN_MC!L98="","*",FN_MC!L98)</f>
        <v>109</v>
      </c>
      <c r="P97" s="107">
        <f>IF(FN_MC!O98="","*",FN_MC!O98)</f>
        <v>0.33333333333333331</v>
      </c>
      <c r="Q97" s="107">
        <f>IF(FN_MC!P98="","*",FN_MC!P98)</f>
        <v>4.1666666666666664E-2</v>
      </c>
      <c r="R97" s="96" t="str">
        <f>IF(FN_MC!Q98="","*",CONCATENATE(FN_MC!Q98," ",FN_MC!R98))</f>
        <v>100 KM</v>
      </c>
      <c r="S97" s="96" t="str">
        <f>IF(FN_MC!V98="","*",FN_MC!V98)</f>
        <v>Herbert</v>
      </c>
      <c r="T97" s="232" t="str">
        <f>IF(FN_MC!W98="","*",FN_MC!W98)</f>
        <v>Ronda 7 dias</v>
      </c>
      <c r="U97" s="98">
        <f ca="1">_xlfn.XLOOKUP(G97&amp;$U$3,BS_CONTROLE[CHAVE],BS_CONTROLE[Quantidade_11],"-")</f>
        <v>100</v>
      </c>
      <c r="V97" s="98">
        <f ca="1">_xlfn.XLOOKUP(G97&amp;$V$3,BS_CONTROLE[CHAVE],BS_CONTROLE[Quantidade_11],"-")</f>
        <v>180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IF(FN_MC!Y99="","*",FN_MC!Y99)</f>
        <v>*</v>
      </c>
      <c r="B98" s="95" t="str">
        <f>IF(FN_MC!X99="","*",FN_MC!X99)</f>
        <v>Extra</v>
      </c>
      <c r="C98" s="95" t="str">
        <f>IF(FN_MC!Z99="","*",FN_MC!Z99)</f>
        <v>*</v>
      </c>
      <c r="D98" s="96" t="str">
        <f>IF(FN_MC!S99="","*",FN_MC!S99)</f>
        <v>MALHA CENTRAL</v>
      </c>
      <c r="E98" s="96" t="str">
        <f>IF(FN_MC!T99="","*",FN_MC!T99)</f>
        <v>PPN-POV</v>
      </c>
      <c r="F98" s="96">
        <f>IF(FN_MC!B99="","*",FN_MC!B99)</f>
        <v>46063</v>
      </c>
      <c r="G98" s="96" t="str">
        <f>IF(FN_MC!D99="","*",FN_MC!D99)</f>
        <v>CARLOS NEVES (TP-521)</v>
      </c>
      <c r="H98" s="96" t="str">
        <f>IF(FN_MC!F99="","*",FN_MC!F99)</f>
        <v>PDM - SOLDA</v>
      </c>
      <c r="I98" s="96" t="str">
        <f>IF(FN_MC!H99="","*",FN_MC!H99)</f>
        <v>-</v>
      </c>
      <c r="J98" s="96" t="str">
        <f>IF(FN_MC!I99="","*",FN_MC!I99)</f>
        <v>-</v>
      </c>
      <c r="K98" s="96" t="str">
        <f>IF(FN_MC!M99="","*",FN_MC!M99)</f>
        <v>PPO-PPP</v>
      </c>
      <c r="L98" s="196" t="str">
        <f>IF(FN_MC!N99="","*",FN_MC!N99)</f>
        <v>PPPPPO</v>
      </c>
      <c r="M98" s="97">
        <f>IF(FN_MC!J99="","*",FN_MC!J99)</f>
        <v>101</v>
      </c>
      <c r="N98" s="183">
        <f>IF(FN_MC!K99="","*",FN_MC!K99)</f>
        <v>1142.5999999999999</v>
      </c>
      <c r="O98" s="183">
        <f>IF(FN_MC!L99="","*",FN_MC!L99)</f>
        <v>1143</v>
      </c>
      <c r="P98" s="107">
        <f>IF(FN_MC!O99="","*",FN_MC!O99)</f>
        <v>0.29166666666666669</v>
      </c>
      <c r="Q98" s="107">
        <f>IF(FN_MC!P99="","*",FN_MC!P99)</f>
        <v>0.41666666666666669</v>
      </c>
      <c r="R98" s="96" t="str">
        <f>IF(FN_MC!Q99="","*",CONCATENATE(FN_MC!Q99," ",FN_MC!R99))</f>
        <v>2 Nº DE SOLDA</v>
      </c>
      <c r="S98" s="96" t="str">
        <f>IF(FN_MC!V99="","*",FN_MC!V99)</f>
        <v xml:space="preserve">Carlos </v>
      </c>
      <c r="T98" s="96" t="str">
        <f>IF(FN_MC!W99="","*",FN_MC!W99)</f>
        <v xml:space="preserve">Execução de solda - Condicionado a temperatura </v>
      </c>
      <c r="U98" s="98">
        <f ca="1">_xlfn.XLOOKUP(G98&amp;$U$3,BS_CONTROLE[CHAVE],BS_CONTROLE[Quantidade_11],"-")</f>
        <v>2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Extra</v>
      </c>
      <c r="C99" s="95" t="str">
        <f>IF(FN_MC!Z100="","*",FN_MC!Z100)</f>
        <v>*</v>
      </c>
      <c r="D99" s="96" t="str">
        <f>IF(FN_MC!S100="","*",FN_MC!S100)</f>
        <v>MALHA CENTRAL</v>
      </c>
      <c r="E99" s="96" t="str">
        <f>IF(FN_MC!T100="","*",FN_MC!T100)</f>
        <v>PRV-POV</v>
      </c>
      <c r="F99" s="96">
        <f>IF(FN_MC!B100="","*",FN_MC!B100)</f>
        <v>46063</v>
      </c>
      <c r="G99" s="96" t="str">
        <f>IF(FN_MC!D100="","*",FN_MC!D100)</f>
        <v>W94</v>
      </c>
      <c r="H99" s="96" t="str">
        <f>IF(FN_MC!F100="","*",FN_MC!F100)</f>
        <v>PDM - PEDRA - CARGA</v>
      </c>
      <c r="I99" s="96" t="str">
        <f>IF(FN_MC!H100="","*",FN_MC!H100)</f>
        <v>PPR1</v>
      </c>
      <c r="J99" s="96" t="str">
        <f>IF(FN_MC!I100="","*",FN_MC!I100)</f>
        <v>PIT1</v>
      </c>
      <c r="K99" s="96" t="str">
        <f>IF(FN_MC!M100="","*",FN_MC!M100)</f>
        <v>PPR-PSS</v>
      </c>
      <c r="L99" s="196" t="str">
        <f>IF(FN_MC!N100="","*",FN_MC!N100)</f>
        <v>K18PPR</v>
      </c>
      <c r="M99" s="97">
        <f>IF(FN_MC!J100="","*",FN_MC!J100)</f>
        <v>103</v>
      </c>
      <c r="N99" s="183">
        <f>IF(FN_MC!K100="","*",FN_MC!K100)</f>
        <v>1996.3</v>
      </c>
      <c r="O99" s="183" t="str">
        <f>IF(FN_MC!L100="","*",FN_MC!L100)</f>
        <v>-</v>
      </c>
      <c r="P99" s="107">
        <f>IF(FN_MC!O100="","*",FN_MC!O100)</f>
        <v>0.375</v>
      </c>
      <c r="Q99" s="107">
        <f>IF(FN_MC!P100="","*",FN_MC!P100)</f>
        <v>8.3333333333333329E-2</v>
      </c>
      <c r="R99" s="96" t="str">
        <f>IF(FN_MC!Q100="","*",CONCATENATE(FN_MC!Q100," ",FN_MC!R100))</f>
        <v>13 VAGÕES</v>
      </c>
      <c r="S99" s="96" t="str">
        <f>IF(FN_MC!V100="","*",FN_MC!V100)</f>
        <v xml:space="preserve">Lucas </v>
      </c>
      <c r="T99" s="96" t="str">
        <f>IF(FN_MC!W100="","*",FN_MC!W100)</f>
        <v xml:space="preserve">Carregamento de pedra </v>
      </c>
      <c r="U99" s="98">
        <f ca="1">_xlfn.XLOOKUP(G99&amp;$U$3,BS_CONTROLE[CHAVE],BS_CONTROLE[Quantidade_11],"-")</f>
        <v>13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IF(FN_MC!Y101="","*",FN_MC!Y101)</f>
        <v>SIM</v>
      </c>
      <c r="B100" s="95" t="str">
        <f>IF(FN_MC!X101="","*",FN_MC!X101)</f>
        <v>Contrato</v>
      </c>
      <c r="C100" s="95" t="str">
        <f>IF(FN_MC!Z101="","*",FN_MC!Z101)</f>
        <v>*</v>
      </c>
      <c r="D100" s="96" t="str">
        <f>IF(FN_MC!S101="","*",FN_MC!S101)</f>
        <v>FERRONORTE</v>
      </c>
      <c r="E100" s="96" t="str">
        <f>IF(FN_MC!T101="","*",FN_MC!T101)</f>
        <v>TGR-TRO</v>
      </c>
      <c r="F100" s="96">
        <f>IF(FN_MC!B101="","*",FN_MC!B101)</f>
        <v>46064</v>
      </c>
      <c r="G100" s="96" t="str">
        <f>IF(FN_MC!D101="","*",FN_MC!D101)</f>
        <v>V86</v>
      </c>
      <c r="H100" s="96" t="str">
        <f>IF(FN_MC!F101="","*",FN_MC!F101)</f>
        <v>MECANIZAÇÃO - SOCADORA</v>
      </c>
      <c r="I100" s="96" t="str">
        <f>IF(FN_MC!H101="","*",FN_MC!H101)</f>
        <v>TSF1</v>
      </c>
      <c r="J100" s="96" t="str">
        <f>IF(FN_MC!I101="","*",FN_MC!I101)</f>
        <v>TMJ1</v>
      </c>
      <c r="K100" s="96" t="str">
        <f>IF(FN_MC!M101="","*",FN_MC!M101)</f>
        <v>TBS-TAL</v>
      </c>
      <c r="L100" s="196" t="str">
        <f>IF(FN_MC!N101="","*",FN_MC!N101)</f>
        <v>TBS671</v>
      </c>
      <c r="M100" s="97">
        <f>IF(FN_MC!J101="","*",FN_MC!J101)</f>
        <v>98</v>
      </c>
      <c r="N100" s="183">
        <f>IF(FN_MC!K101="","*",FN_MC!K101)</f>
        <v>665.9</v>
      </c>
      <c r="O100" s="183">
        <f>IF(FN_MC!L101="","*",FN_MC!L101)</f>
        <v>664</v>
      </c>
      <c r="P100" s="107">
        <f>IF(FN_MC!O101="","*",FN_MC!O101)</f>
        <v>0.4375</v>
      </c>
      <c r="Q100" s="107">
        <f>IF(FN_MC!P101="","*",FN_MC!P101)</f>
        <v>0.125</v>
      </c>
      <c r="R100" s="96" t="str">
        <f>IF(FN_MC!Q101="","*",CONCATENATE(FN_MC!Q101," ",FN_MC!R101))</f>
        <v>1560 M</v>
      </c>
      <c r="S100" s="96" t="str">
        <f>IF(FN_MC!V101="","*",FN_MC!V101)</f>
        <v>Antonioni</v>
      </c>
      <c r="T100" s="96" t="str">
        <f>IF(FN_MC!W101="","*",FN_MC!W101)</f>
        <v>Socaria mecanizada</v>
      </c>
      <c r="U100" s="98">
        <f ca="1">_xlfn.XLOOKUP(G100&amp;$U$3,BS_CONTROLE[CHAVE],BS_CONTROLE[Quantidade_11],"-")</f>
        <v>4512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FERRONORTE</v>
      </c>
      <c r="E101" s="96" t="str">
        <f>IF(FN_MC!T102="","*",FN_MC!T102)</f>
        <v>TGR-TRO</v>
      </c>
      <c r="F101" s="96">
        <f>IF(FN_MC!B102="","*",FN_MC!B102)</f>
        <v>46064</v>
      </c>
      <c r="G101" s="96" t="str">
        <f>IF(FN_MC!D102="","*",FN_MC!D102)</f>
        <v>FRANCISCO (TF-19)</v>
      </c>
      <c r="H101" s="96" t="str">
        <f>IF(FN_MC!F102="","*",FN_MC!F102)</f>
        <v>PDM - SUBSTITUIÇÃO - TRILHO</v>
      </c>
      <c r="I101" s="96" t="str">
        <f>IF(FN_MC!H102="","*",FN_MC!H102)</f>
        <v>TEPPAT1</v>
      </c>
      <c r="J101" s="96" t="str">
        <f>IF(FN_MC!I102="","*",FN_MC!I102)</f>
        <v>-</v>
      </c>
      <c r="K101" s="96" t="str">
        <f>IF(FN_MC!M102="","*",FN_MC!M102)</f>
        <v>TEP-TMJ</v>
      </c>
      <c r="L101" s="196" t="str">
        <f>IF(FN_MC!N102="","*",FN_MC!N102)</f>
        <v>TEPPAT1</v>
      </c>
      <c r="M101" s="97">
        <f>IF(FN_MC!J102="","*",FN_MC!J102)</f>
        <v>98</v>
      </c>
      <c r="N101" s="183">
        <f>IF(FN_MC!K102="","*",FN_MC!K102)</f>
        <v>565</v>
      </c>
      <c r="O101" s="183" t="str">
        <f>IF(FN_MC!L102="","*",FN_MC!L102)</f>
        <v>-</v>
      </c>
      <c r="P101" s="107">
        <f>IF(FN_MC!O102="","*",FN_MC!O102)</f>
        <v>0.375</v>
      </c>
      <c r="Q101" s="107">
        <f>IF(FN_MC!P102="","*",FN_MC!P102)</f>
        <v>4.1666666666666664E-2</v>
      </c>
      <c r="R101" s="96" t="str">
        <f>IF(FN_MC!Q102="","*",CONCATENATE(FN_MC!Q102," ",FN_MC!R102))</f>
        <v>20 M</v>
      </c>
      <c r="S101" s="96" t="str">
        <f>IF(FN_MC!V102="","*",FN_MC!V102)</f>
        <v>Francisco</v>
      </c>
      <c r="T101" s="96" t="str">
        <f>IF(FN_MC!W102="","*",FN_MC!W102)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OPORTUNIDADE</v>
      </c>
      <c r="B102" s="95" t="str">
        <f>IF(FN_MC!X103="","*",FN_MC!X103)</f>
        <v>Oportunidade</v>
      </c>
      <c r="C102" s="95" t="str">
        <f>IF(FN_MC!Z103="","*",FN_MC!Z103)</f>
        <v>*</v>
      </c>
      <c r="D102" s="96" t="str">
        <f>IF(FN_MC!S103="","*",FN_MC!S103)</f>
        <v>FERRONORTE</v>
      </c>
      <c r="E102" s="96" t="str">
        <f>IF(FN_MC!T103="","*",FN_MC!T103)</f>
        <v>TGR-TRO</v>
      </c>
      <c r="F102" s="96">
        <f>IF(FN_MC!B103="","*",FN_MC!B103)</f>
        <v>46064</v>
      </c>
      <c r="G102" s="96" t="str">
        <f>IF(FN_MC!D103="","*",FN_MC!D103)</f>
        <v>BRUNO (TF-525)</v>
      </c>
      <c r="H102" s="96" t="str">
        <f>IF(FN_MC!F103="","*",FN_MC!F103)</f>
        <v>PDM - SOLDA</v>
      </c>
      <c r="I102" s="96" t="str">
        <f>IF(FN_MC!H103="","*",FN_MC!H103)</f>
        <v>TRM</v>
      </c>
      <c r="J102" s="96" t="str">
        <f>IF(FN_MC!I103="","*",FN_MC!I103)</f>
        <v>-</v>
      </c>
      <c r="K102" s="96" t="str">
        <f>IF(FN_MC!M103="","*",FN_MC!M103)</f>
        <v>TRM</v>
      </c>
      <c r="L102" s="196" t="str">
        <f>IF(FN_MC!N103="","*",FN_MC!N103)</f>
        <v>TRMS</v>
      </c>
      <c r="M102" s="97">
        <f>IF(FN_MC!J103="","*",FN_MC!J103)</f>
        <v>98</v>
      </c>
      <c r="N102" s="183">
        <f>IF(FN_MC!K103="","*",FN_MC!K103)</f>
        <v>548.16</v>
      </c>
      <c r="O102" s="183" t="str">
        <f>IF(FN_MC!L103="","*",FN_MC!L103)</f>
        <v>-</v>
      </c>
      <c r="P102" s="107">
        <f>IF(FN_MC!O103="","*",FN_MC!O103)</f>
        <v>0.33333333333333331</v>
      </c>
      <c r="Q102" s="107">
        <f>IF(FN_MC!P103="","*",FN_MC!P103)</f>
        <v>6.25E-2</v>
      </c>
      <c r="R102" s="96" t="str">
        <f>IF(FN_MC!Q103="","*",CONCATENATE(FN_MC!Q103," ",FN_MC!R103))</f>
        <v>1 Nº DE SOLDA</v>
      </c>
      <c r="S102" s="96" t="str">
        <f>IF(FN_MC!V103="","*",FN_MC!V103)</f>
        <v>Bruno</v>
      </c>
      <c r="T102" s="96" t="str">
        <f>IF(FN_MC!W103="","*",FN_MC!W103)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0</v>
      </c>
      <c r="W102" s="98" t="str">
        <f ca="1">_xlfn.XLOOKUP(G102&amp;$W$3,BS_CONTROLE[CHAVE],BS_CONTROLE[Quantidade_11],"-")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OPORTUNIDADE</v>
      </c>
      <c r="B103" s="95" t="str">
        <f>IF(FN_MC!X104="","*",FN_MC!X104)</f>
        <v>Oportunidade</v>
      </c>
      <c r="C103" s="95" t="str">
        <f>IF(FN_MC!Z104="","*",FN_MC!Z104)</f>
        <v>*</v>
      </c>
      <c r="D103" s="96" t="str">
        <f>IF(FN_MC!S104="","*",FN_MC!S104)</f>
        <v>FERRONORTE</v>
      </c>
      <c r="E103" s="96" t="str">
        <f>IF(FN_MC!T104="","*",FN_MC!T104)</f>
        <v>TGR-TRO</v>
      </c>
      <c r="F103" s="96">
        <f>IF(FN_MC!B104="","*",FN_MC!B104)</f>
        <v>46064</v>
      </c>
      <c r="G103" s="96" t="str">
        <f>IF(FN_MC!D104="","*",FN_MC!D104)</f>
        <v>W70</v>
      </c>
      <c r="H103" s="96" t="str">
        <f>IF(FN_MC!F104="","*",FN_MC!F104)</f>
        <v>DESLOCAMENTO</v>
      </c>
      <c r="I103" s="96" t="str">
        <f>IF(FN_MC!H104="","*",FN_MC!H104)</f>
        <v>TGR2</v>
      </c>
      <c r="J103" s="96" t="str">
        <f>IF(FN_MC!I104="","*",FN_MC!I104)</f>
        <v>TIQ2</v>
      </c>
      <c r="K103" s="96" t="str">
        <f>IF(FN_MC!M104="","*",FN_MC!M104)</f>
        <v>TGR-TIQ</v>
      </c>
      <c r="L103" s="196" t="str">
        <f>IF(FN_MC!N104="","*",FN_MC!N104)</f>
        <v>TGRTIQ</v>
      </c>
      <c r="M103" s="97">
        <f>IF(FN_MC!J104="","*",FN_MC!J104)</f>
        <v>98</v>
      </c>
      <c r="N103" s="183">
        <f>IF(FN_MC!K104="","*",FN_MC!K104)</f>
        <v>502</v>
      </c>
      <c r="O103" s="183" t="str">
        <f>IF(FN_MC!L104="","*",FN_MC!L104)</f>
        <v>-</v>
      </c>
      <c r="P103" s="107">
        <f>IF(FN_MC!O104="","*",FN_MC!O104)</f>
        <v>0.75</v>
      </c>
      <c r="Q103" s="107">
        <f>IF(FN_MC!P104="","*",FN_MC!P104)</f>
        <v>4.1666666666666664E-2</v>
      </c>
      <c r="R103" s="96" t="str">
        <f>IF(FN_MC!Q104="","*",CONCATENATE(FN_MC!Q104," ",FN_MC!R104))</f>
        <v>27 BINÁRIO</v>
      </c>
      <c r="S103" s="96" t="str">
        <f>IF(FN_MC!V104="","*",FN_MC!V104)</f>
        <v xml:space="preserve">Camila </v>
      </c>
      <c r="T103" s="96" t="str">
        <f>IF(FN_MC!W104="","*",FN_MC!W104)</f>
        <v xml:space="preserve">Deslocamento para TIQ </v>
      </c>
      <c r="U103" s="98">
        <f ca="1">_xlfn.XLOOKUP(G103&amp;$U$3,BS_CONTROLE[CHAVE],BS_CONTROLE[Quantidade_11],"-")</f>
        <v>27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SIM</v>
      </c>
      <c r="B104" s="95" t="str">
        <f>IF(FN_MC!X105="","*",FN_MC!X105)</f>
        <v>Contrato</v>
      </c>
      <c r="C104" s="95" t="str">
        <f>IF(FN_MC!Z105="","*",FN_MC!Z105)</f>
        <v>*</v>
      </c>
      <c r="D104" s="96" t="str">
        <f>IF(FN_MC!S105="","*",FN_MC!S105)</f>
        <v>FERRONORTE</v>
      </c>
      <c r="E104" s="96" t="str">
        <f>IF(FN_MC!T105="","*",FN_MC!T105)</f>
        <v>TCS-TGR</v>
      </c>
      <c r="F104" s="96">
        <f>IF(FN_MC!B105="","*",FN_MC!B105)</f>
        <v>46064</v>
      </c>
      <c r="G104" s="96" t="str">
        <f>IF(FN_MC!D105="","*",FN_MC!D105)</f>
        <v>ELSON (TF-526)</v>
      </c>
      <c r="H104" s="96" t="str">
        <f>IF(FN_MC!F105="","*",FN_MC!F105)</f>
        <v>PDM - SOLDA</v>
      </c>
      <c r="I104" s="96" t="str">
        <f>IF(FN_MC!H105="","*",FN_MC!H105)</f>
        <v>-</v>
      </c>
      <c r="J104" s="96" t="str">
        <f>IF(FN_MC!I105="","*",FN_MC!I105)</f>
        <v>-</v>
      </c>
      <c r="K104" s="96" t="str">
        <f>IF(FN_MC!M105="","*",FN_MC!M105)</f>
        <v>TPC-TVL</v>
      </c>
      <c r="L104" s="196" t="str">
        <f>IF(FN_MC!N105="","*",FN_MC!N105)</f>
        <v>TPC440</v>
      </c>
      <c r="M104" s="97">
        <f>IF(FN_MC!J105="","*",FN_MC!J105)</f>
        <v>74</v>
      </c>
      <c r="N104" s="183">
        <f>IF(FN_MC!K105="","*",FN_MC!K105)</f>
        <v>430.26799999999997</v>
      </c>
      <c r="O104" s="183" t="str">
        <f>IF(FN_MC!L105="","*",FN_MC!L105)</f>
        <v>-</v>
      </c>
      <c r="P104" s="107">
        <f>IF(FN_MC!O105="","*",FN_MC!O105)</f>
        <v>0.375</v>
      </c>
      <c r="Q104" s="107">
        <f>IF(FN_MC!P105="","*",FN_MC!P105)</f>
        <v>0.125</v>
      </c>
      <c r="R104" s="96" t="str">
        <f>IF(FN_MC!Q105="","*",CONCATENATE(FN_MC!Q105," ",FN_MC!R105))</f>
        <v>2 Nº DE SOLDA</v>
      </c>
      <c r="S104" s="96" t="str">
        <f>IF(FN_MC!V105="","*",FN_MC!V105)</f>
        <v>Elson</v>
      </c>
      <c r="T104" s="96" t="str">
        <f>IF(FN_MC!W105="","*",FN_MC!W105)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SIM</v>
      </c>
      <c r="B105" s="95" t="str">
        <f>IF(FN_MC!X106="","*",FN_MC!X106)</f>
        <v>Contrato</v>
      </c>
      <c r="C105" s="95" t="str">
        <f>IF(FN_MC!Z106="","*",FN_MC!Z106)</f>
        <v>*</v>
      </c>
      <c r="D105" s="96" t="str">
        <f>IF(FN_MC!S106="","*",FN_MC!S106)</f>
        <v>FERRONORTE</v>
      </c>
      <c r="E105" s="96" t="str">
        <f>IF(FN_MC!T106="","*",FN_MC!T106)</f>
        <v>TMI-TCS</v>
      </c>
      <c r="F105" s="96">
        <f>IF(FN_MC!B106="","*",FN_MC!B106)</f>
        <v>46064</v>
      </c>
      <c r="G105" s="96" t="str">
        <f>IF(FN_MC!D106="","*",FN_MC!D106)</f>
        <v>A60</v>
      </c>
      <c r="H105" s="96" t="str">
        <f>IF(FN_MC!F106="","*",FN_MC!F106)</f>
        <v>DETECÇÃO - RONDA 7 DIAS</v>
      </c>
      <c r="I105" s="96" t="str">
        <f>IF(FN_MC!H106="","*",FN_MC!H106)</f>
        <v>TCS291</v>
      </c>
      <c r="J105" s="96" t="str">
        <f>IF(FN_MC!I106="","*",FN_MC!I106)</f>
        <v>TGR512</v>
      </c>
      <c r="K105" s="96" t="str">
        <f>IF(FN_MC!M106="","*",FN_MC!M106)</f>
        <v>TCS-TGR</v>
      </c>
      <c r="L105" s="196" t="str">
        <f>IF(FN_MC!N106="","*",FN_MC!N106)</f>
        <v>TCSTGR</v>
      </c>
      <c r="M105" s="97">
        <f>IF(FN_MC!J106="","*",FN_MC!J106)</f>
        <v>74</v>
      </c>
      <c r="N105" s="183">
        <f>IF(FN_MC!K106="","*",FN_MC!K106)</f>
        <v>290.74</v>
      </c>
      <c r="O105" s="183" t="str">
        <f>IF(FN_MC!L106="","*",FN_MC!L106)</f>
        <v>-</v>
      </c>
      <c r="P105" s="107">
        <f>IF(FN_MC!O106="","*",FN_MC!O106)</f>
        <v>0.375</v>
      </c>
      <c r="Q105" s="107">
        <f>IF(FN_MC!P106="","*",FN_MC!P106)</f>
        <v>4.1666666666666664E-2</v>
      </c>
      <c r="R105" s="96" t="str">
        <f>IF(FN_MC!Q106="","*",CONCATENATE(FN_MC!Q106," ",FN_MC!R106))</f>
        <v>210 KM</v>
      </c>
      <c r="S105" s="96" t="str">
        <f>IF(FN_MC!V106="","*",FN_MC!V106)</f>
        <v>Daniel</v>
      </c>
      <c r="T105" s="96" t="str">
        <f>IF(FN_MC!W106="","*",FN_MC!W106)</f>
        <v>Ronda 7 dias TCS-TGR</v>
      </c>
      <c r="U105" s="98">
        <f ca="1">_xlfn.XLOOKUP(G105&amp;$U$3,BS_CONTROLE[CHAVE],BS_CONTROLE[Quantidade_11],"-")</f>
        <v>100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OPORTUNIDADE</v>
      </c>
      <c r="B106" s="95" t="str">
        <f>IF(FN_MC!X108="","*",FN_MC!X108)</f>
        <v>Oportunidade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W50</v>
      </c>
      <c r="H106" s="96" t="str">
        <f>IF(FN_MC!F108="","*",FN_MC!F108)</f>
        <v>MODERNIZAÇÃO - PEDRA - DESCARGA</v>
      </c>
      <c r="I106" s="96" t="str">
        <f>IF(FN_MC!H108="","*",FN_MC!H108)</f>
        <v xml:space="preserve">TCS2 </v>
      </c>
      <c r="J106" s="96" t="str">
        <f>IF(FN_MC!I108="","*",FN_MC!I108)</f>
        <v xml:space="preserve">TCS2 </v>
      </c>
      <c r="K106" s="96" t="str">
        <f>IF(FN_MC!M108="","*",FN_MC!M108)</f>
        <v>TVI-TJA</v>
      </c>
      <c r="L106" s="196">
        <f>IF(FN_MC!N108="","*",FN_MC!N108)</f>
        <v>239251</v>
      </c>
      <c r="M106" s="97">
        <f>IF(FN_MC!J108="","*",FN_MC!J108)</f>
        <v>74</v>
      </c>
      <c r="N106" s="183">
        <f>IF(FN_MC!K108="","*",FN_MC!K108)</f>
        <v>250</v>
      </c>
      <c r="O106" s="183">
        <f>IF(FN_MC!L108="","*",FN_MC!L108)</f>
        <v>239</v>
      </c>
      <c r="P106" s="107">
        <f>IF(FN_MC!O108="","*",FN_MC!O108)</f>
        <v>0.375</v>
      </c>
      <c r="Q106" s="107">
        <f>IF(FN_MC!P108="","*",FN_MC!P108)</f>
        <v>8.3333333333333329E-2</v>
      </c>
      <c r="R106" s="96" t="str">
        <f>IF(FN_MC!Q108="","*",CONCATENATE(FN_MC!Q108," ",FN_MC!R108))</f>
        <v>15 VAGÕES</v>
      </c>
      <c r="S106" s="96" t="str">
        <f>IF(FN_MC!V108="","*",FN_MC!V108)</f>
        <v>Augusto/ Efraim</v>
      </c>
      <c r="T106" s="96" t="str">
        <f>IF(FN_MC!W108="","*",FN_MC!W108)</f>
        <v xml:space="preserve">Descarga de pedra </v>
      </c>
      <c r="U106" s="98">
        <f ca="1">_xlfn.XLOOKUP(G106&amp;$U$3,BS_CONTROLE[CHAVE],BS_CONTROLE[Quantidade_11],"-")</f>
        <v>4</v>
      </c>
      <c r="V106" s="98">
        <f ca="1">_xlfn.XLOOKUP(G106&amp;$V$3,BS_CONTROLE[CHAVE],BS_CONTROLE[Quantidade_11],"-")</f>
        <v>0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MARCOS (TF-520)</v>
      </c>
      <c r="H107" s="96" t="str">
        <f>IF(FN_MC!F109="","*",FN_MC!F109)</f>
        <v>PDM - SOLDA</v>
      </c>
      <c r="I107" s="96" t="str">
        <f>IF(FN_MC!H109="","*",FN_MC!H109)</f>
        <v>TAPK35</v>
      </c>
      <c r="J107" s="96" t="str">
        <f>IF(FN_MC!I109="","*",FN_MC!I109)</f>
        <v>-</v>
      </c>
      <c r="K107" s="96" t="str">
        <f>IF(FN_MC!M109="","*",FN_MC!M109)</f>
        <v>TAP-TLG</v>
      </c>
      <c r="L107" s="196" t="str">
        <f>IF(FN_MC!N109="","*",FN_MC!N109)</f>
        <v>TAPK35</v>
      </c>
      <c r="M107" s="97">
        <f>IF(FN_MC!J109="","*",FN_MC!J109)</f>
        <v>74</v>
      </c>
      <c r="N107" s="183">
        <f>IF(FN_MC!K109="","*",FN_MC!K109)</f>
        <v>27.555</v>
      </c>
      <c r="O107" s="183">
        <f>IF(FN_MC!L109="","*",FN_MC!L109)</f>
        <v>26.818999999999999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2 Nº DE SOLDA</v>
      </c>
      <c r="S107" s="96" t="str">
        <f>IF(FN_MC!V109="","*",FN_MC!V109)</f>
        <v>Marcos Euzebio</v>
      </c>
      <c r="T107" s="96" t="str">
        <f>IF(FN_MC!W109="","*",FN_MC!W109)</f>
        <v>Execução de solda - Condicionado a temperatura (retirada de restrição)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ANISIO (TF-514)</v>
      </c>
      <c r="H108" s="96" t="str">
        <f>IF(FN_MC!F110="","*",FN_MC!F110)</f>
        <v>PDM - SUBSTITUIÇÃO - TRILHO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312 M</v>
      </c>
      <c r="S108" s="96" t="str">
        <f>IF(FN_MC!V110="","*",FN_MC!V110)</f>
        <v>Anisio</v>
      </c>
      <c r="T108" s="96" t="str">
        <f>IF(FN_MC!W110="","*",FN_MC!W110)</f>
        <v>Substituição de trilho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MALHA CENTRAL</v>
      </c>
      <c r="E109" s="96" t="str">
        <f>IF(FN_MC!T111="","*",FN_MC!T111)</f>
        <v>PPN-POV</v>
      </c>
      <c r="F109" s="96">
        <f>IF(FN_MC!B111="","*",FN_MC!B111)</f>
        <v>46064</v>
      </c>
      <c r="G109" s="96" t="str">
        <f>IF(FN_MC!D111="","*",FN_MC!D111)</f>
        <v xml:space="preserve">TURMA FIXA VIA </v>
      </c>
      <c r="H109" s="96" t="str">
        <f>IF(FN_MC!F111="","*",FN_MC!F111)</f>
        <v>PDM - SUBSTITUIÇÃO - TRILHO</v>
      </c>
      <c r="I109" s="96" t="str">
        <f>IF(FN_MC!H111="","*",FN_MC!H111)</f>
        <v>POVPJA</v>
      </c>
      <c r="J109" s="96" t="str">
        <f>IF(FN_MC!I111="","*",FN_MC!I111)</f>
        <v>-</v>
      </c>
      <c r="K109" s="96" t="str">
        <f>IF(FN_MC!M111="","*",FN_MC!M111)</f>
        <v>PJA-POV</v>
      </c>
      <c r="L109" s="196" t="str">
        <f>IF(FN_MC!N111="","*",FN_MC!N111)</f>
        <v>POVPJA</v>
      </c>
      <c r="M109" s="97">
        <f>IF(FN_MC!J111="","*",FN_MC!J111)</f>
        <v>101</v>
      </c>
      <c r="N109" s="183">
        <f>IF(FN_MC!K111="","*",FN_MC!K111)</f>
        <v>1505.85</v>
      </c>
      <c r="O109" s="183" t="str">
        <f>IF(FN_MC!L111="","*",FN_MC!L111)</f>
        <v>-</v>
      </c>
      <c r="P109" s="107">
        <f>IF(FN_MC!O111="","*",FN_MC!O111)</f>
        <v>0.41666666666666669</v>
      </c>
      <c r="Q109" s="107">
        <f>IF(FN_MC!P111="","*",FN_MC!P111)</f>
        <v>8.3333333333333329E-2</v>
      </c>
      <c r="R109" s="96" t="str">
        <f>IF(FN_MC!Q111="","*",CONCATENATE(FN_MC!Q111," ",FN_MC!R111))</f>
        <v>8 M</v>
      </c>
      <c r="S109" s="96" t="str">
        <f>IF(FN_MC!V111="","*",FN_MC!V111)</f>
        <v>Carlito</v>
      </c>
      <c r="T109" s="96" t="str">
        <f>IF(FN_MC!W111="","*",FN_MC!W111)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V86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>
        <f ca="1">_xlfn.XLOOKUP(G112&amp;$U$3,BS_CONTROLE[CHAVE],BS_CONTROLE[Quantidade_11],"-")</f>
        <v>4512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W70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>
        <f ca="1">_xlfn.XLOOKUP(G113&amp;$U$3,BS_CONTROLE[CHAVE],BS_CONTROLE[Quantidade_11],"-")</f>
        <v>27</v>
      </c>
      <c r="V113" s="98">
        <f ca="1">_xlfn.XLOOKUP(G113&amp;$V$3,BS_CONTROLE[CHAVE],BS_CONTROLE[Quantidade_11],"-")</f>
        <v>0</v>
      </c>
      <c r="W113" s="98" t="str">
        <f ca="1">_xlfn.XLOOKUP(G113&amp;$W$3,BS_CONTROLE[CHAVE],BS_CONTROLE[Quantidade_11],"-")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FERNANDO (TF-19)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BRUNO (TF-525)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>
        <f ca="1">_xlfn.XLOOKUP(G117&amp;$U$3,BS_CONTROLE[CHAVE],BS_CONTROLE[Quantidade_11],"-")</f>
        <v>0</v>
      </c>
      <c r="V117" s="98">
        <f ca="1">_xlfn.XLOOKUP(G117&amp;$V$3,BS_CONTROLE[CHAVE],BS_CONTROLE[Quantidade_11],"-")</f>
        <v>0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W50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>
        <f ca="1">_xlfn.XLOOKUP(G119&amp;$U$3,BS_CONTROLE[CHAVE],BS_CONTROLE[Quantidade_11],"-")</f>
        <v>4</v>
      </c>
      <c r="V119" s="98">
        <f ca="1">_xlfn.XLOOKUP(G119&amp;$V$3,BS_CONTROLE[CHAVE],BS_CONTROLE[Quantidade_11],"-")</f>
        <v>0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V66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>
        <f ca="1">_xlfn.XLOOKUP(G121&amp;$U$3,BS_CONTROLE[CHAVE],BS_CONTROLE[Quantidade_11],"-")</f>
        <v>1000</v>
      </c>
      <c r="V121" s="98">
        <f ca="1">_xlfn.XLOOKUP(G121&amp;$V$3,BS_CONTROLE[CHAVE],BS_CONTROLE[Quantidade_11],"-")</f>
        <v>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-</v>
      </c>
      <c r="E776" s="96" t="str">
        <f>IF(FN_MC!T778="","*",FN_MC!T778)</f>
        <v>-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-</v>
      </c>
      <c r="L776" s="196" t="str">
        <f>IF(FN_MC!N778="","*",FN_MC!N778)</f>
        <v>-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-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96" t="str">
        <f>IF(FN_MC!N903="","*",FN_MC!N903)</f>
        <v>*</v>
      </c>
      <c r="M901" s="97" t="str">
        <f>IF(FN_MC!J903="","*",FN_MC!J903)</f>
        <v>*</v>
      </c>
      <c r="N901" s="183" t="str">
        <f>IF(FN_MC!K903="","*",FN_MC!K903)</f>
        <v>*</v>
      </c>
      <c r="O901" s="18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1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1522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91" t="s">
        <v>1523</v>
      </c>
      <c r="C4" s="191" t="s">
        <v>1524</v>
      </c>
      <c r="D4" s="191" t="s">
        <v>1525</v>
      </c>
      <c r="E4" s="191" t="s">
        <v>1526</v>
      </c>
      <c r="F4" s="191" t="s">
        <v>366</v>
      </c>
      <c r="G4" s="191" t="s">
        <v>1527</v>
      </c>
    </row>
    <row r="5" spans="2:7">
      <c r="B5" s="192" t="s">
        <v>1528</v>
      </c>
      <c r="C5" s="192">
        <v>309525</v>
      </c>
      <c r="D5" s="192" t="s">
        <v>1529</v>
      </c>
      <c r="E5" s="192" t="s">
        <v>249</v>
      </c>
      <c r="F5" s="192" t="s">
        <v>1530</v>
      </c>
      <c r="G5" s="193">
        <v>46296</v>
      </c>
    </row>
    <row r="6" spans="2:7">
      <c r="B6" s="192" t="s">
        <v>1531</v>
      </c>
      <c r="C6" s="192">
        <v>257410</v>
      </c>
      <c r="D6" s="192" t="s">
        <v>1532</v>
      </c>
      <c r="E6" s="192" t="s">
        <v>249</v>
      </c>
      <c r="F6" s="192" t="s">
        <v>1530</v>
      </c>
      <c r="G6" s="193"/>
    </row>
    <row r="7" spans="2:7">
      <c r="B7" s="192" t="s">
        <v>1481</v>
      </c>
      <c r="C7" s="192">
        <v>256875</v>
      </c>
      <c r="D7" s="192" t="s">
        <v>1533</v>
      </c>
      <c r="E7" s="192" t="s">
        <v>249</v>
      </c>
      <c r="F7" s="192" t="s">
        <v>1530</v>
      </c>
      <c r="G7" s="193">
        <v>46296</v>
      </c>
    </row>
    <row r="8" spans="2:7">
      <c r="B8" s="192" t="s">
        <v>1534</v>
      </c>
      <c r="C8" s="192">
        <v>257278</v>
      </c>
      <c r="D8" s="192" t="s">
        <v>1535</v>
      </c>
      <c r="E8" s="192" t="s">
        <v>240</v>
      </c>
      <c r="F8" s="192" t="s">
        <v>1536</v>
      </c>
      <c r="G8" s="193">
        <v>46235</v>
      </c>
    </row>
    <row r="9" spans="2:7">
      <c r="B9" s="192" t="s">
        <v>1537</v>
      </c>
      <c r="C9" s="192">
        <v>261794</v>
      </c>
      <c r="D9" s="192" t="s">
        <v>1538</v>
      </c>
      <c r="E9" s="192" t="s">
        <v>240</v>
      </c>
      <c r="F9" s="192" t="s">
        <v>1536</v>
      </c>
      <c r="G9" s="193">
        <v>46082</v>
      </c>
    </row>
    <row r="10" spans="2:7">
      <c r="B10" s="192" t="s">
        <v>1539</v>
      </c>
      <c r="C10" s="192">
        <v>257033</v>
      </c>
      <c r="D10" s="192" t="s">
        <v>1540</v>
      </c>
      <c r="E10" s="192" t="s">
        <v>240</v>
      </c>
      <c r="F10" s="192" t="s">
        <v>480</v>
      </c>
      <c r="G10" s="192" t="s">
        <v>1541</v>
      </c>
    </row>
    <row r="11" spans="2:7">
      <c r="B11" s="192" t="s">
        <v>1542</v>
      </c>
      <c r="C11" s="192">
        <v>396578</v>
      </c>
      <c r="D11" s="192" t="s">
        <v>1543</v>
      </c>
      <c r="E11" s="192" t="s">
        <v>240</v>
      </c>
      <c r="F11" s="192" t="s">
        <v>480</v>
      </c>
      <c r="G11" s="192" t="s">
        <v>1541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0" t="s">
        <v>1544</v>
      </c>
      <c r="D5" s="271"/>
      <c r="E5" s="271"/>
      <c r="F5" s="271"/>
      <c r="G5" s="271"/>
      <c r="H5" s="271"/>
      <c r="I5" s="271"/>
      <c r="J5" s="272"/>
      <c r="K5" s="273" t="s">
        <v>1545</v>
      </c>
      <c r="L5" s="274"/>
      <c r="M5" s="274"/>
      <c r="N5" s="274"/>
      <c r="O5" s="275" t="s">
        <v>1546</v>
      </c>
      <c r="P5" s="276"/>
      <c r="Q5" s="277"/>
    </row>
    <row r="6" spans="1:17" s="81" customFormat="1" ht="15.75" customHeight="1">
      <c r="A6" s="75" t="s">
        <v>1520</v>
      </c>
      <c r="B6" s="82" t="s">
        <v>1519</v>
      </c>
      <c r="C6" s="83" t="s">
        <v>1211</v>
      </c>
      <c r="D6" s="84" t="s">
        <v>1212</v>
      </c>
      <c r="E6" s="83" t="s">
        <v>1547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1548</v>
      </c>
      <c r="M6" s="116" t="s">
        <v>29</v>
      </c>
      <c r="N6" s="117" t="s">
        <v>1206</v>
      </c>
      <c r="O6" s="165" t="s">
        <v>1249</v>
      </c>
      <c r="P6" s="128"/>
      <c r="Q6" s="139" t="s">
        <v>1549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FERRONORTE</v>
      </c>
      <c r="D125" s="87" t="str">
        <f>IF(FN_MC!T101="","*",FN_MC!T101)</f>
        <v>TGR-TRO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TBS-TAL</v>
      </c>
      <c r="H125" s="125">
        <f>IF(FN_MC!K101="","*",FN_MC!K101)</f>
        <v>665.9</v>
      </c>
      <c r="I125" s="110">
        <f>IF(FN_MC!O101="","*",FN_MC!O101)</f>
        <v>0.4375</v>
      </c>
      <c r="J125" s="110">
        <f>IF(FN_MC!P101="","*",FN_MC!P101)</f>
        <v>0.125</v>
      </c>
      <c r="K125" s="118" t="str">
        <f>IF(FN_MC!AK101="","*",FN_MC!AK101)</f>
        <v>TSF1</v>
      </c>
      <c r="L125" s="118" t="str">
        <f>IF(FN_MC!AM101="","*",FN_MC!AM101)</f>
        <v>TBS-TAL</v>
      </c>
      <c r="M125" s="118">
        <f>IF(FN_MC!AP101="","*",FN_MC!AP101)</f>
        <v>665.9</v>
      </c>
      <c r="N125" s="118" t="str">
        <f>IF(FN_MC!AM101="","*",FN_MC!AM101)</f>
        <v>TBS-TAL</v>
      </c>
      <c r="O125" s="136">
        <f>FN_MC!BH101</f>
        <v>0</v>
      </c>
      <c r="P125" s="78"/>
      <c r="Q125" s="120" t="str">
        <f>IF($A$2=1,IF(FN_MC!BJ101="","*",FN_MC!BJ101),IF(FN_MC!BK101="","*",FN_MC!BK101))</f>
        <v xml:space="preserve">MC1 as 09:58h  - cancelado pelo CCO 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1</v>
      </c>
      <c r="P126" s="78"/>
      <c r="Q126" s="120" t="str">
        <f>IF($A$2=1,IF(FN_MC!BJ102="","*",FN_MC!BJ102),IF(FN_MC!BK102="","*",FN_MC!BK102))</f>
        <v>Pronto as 11h - Intervalo das 11:50h as 12:50h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Previsão de faixa após o I71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Em carregamento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Sem oportunidade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1</v>
      </c>
      <c r="P130" s="78"/>
      <c r="Q130" s="120" t="str">
        <f>IF($A$2=1,IF(FN_MC!BJ106="","*",FN_MC!BJ106),IF(FN_MC!BK106="","*",FN_MC!BK106))</f>
        <v>Licença as 09:16h</v>
      </c>
    </row>
    <row r="131" spans="1:17">
      <c r="A131" s="85">
        <f>IF(FN_MC!B108="","*",FN_MC!B108)</f>
        <v>46064</v>
      </c>
      <c r="B131" s="86" t="str">
        <f>IF(FN_MC!X108="","*",FN_MC!X108)</f>
        <v>Oportunidade</v>
      </c>
      <c r="C131" s="87" t="str">
        <f>IF(FN_MC!S108="","*",FN_MC!S108)</f>
        <v>FERRONORTE</v>
      </c>
      <c r="D131" s="87" t="str">
        <f>IF(FN_MC!T108="","*",FN_MC!T108)</f>
        <v>TMI-TCS</v>
      </c>
      <c r="E131" s="87" t="str">
        <f>IF(FN_MC!D108="","*",FN_MC!D108)</f>
        <v>W50</v>
      </c>
      <c r="F131" s="87" t="str">
        <f>IF(FN_MC!H108="","*",FN_MC!H108)</f>
        <v xml:space="preserve">TCS2 </v>
      </c>
      <c r="G131" s="87" t="str">
        <f>IF(FN_MC!M108="","*",FN_MC!M108)</f>
        <v>TVI-TJA</v>
      </c>
      <c r="H131" s="125">
        <f>IF(FN_MC!K108="","*",FN_MC!K108)</f>
        <v>250</v>
      </c>
      <c r="I131" s="110">
        <f>IF(FN_MC!O108="","*",FN_MC!O108)</f>
        <v>0.375</v>
      </c>
      <c r="J131" s="110">
        <f>IF(FN_MC!P108="","*",FN_MC!P108)</f>
        <v>8.3333333333333329E-2</v>
      </c>
      <c r="K131" s="118" t="str">
        <f>IF(FN_MC!AK108="","*",FN_MC!AK108)</f>
        <v xml:space="preserve">TCS2 </v>
      </c>
      <c r="L131" s="118" t="str">
        <f>IF(FN_MC!AM108="","*",FN_MC!AM108)</f>
        <v>TVI-TJA</v>
      </c>
      <c r="M131" s="118">
        <f>IF(FN_MC!AP108="","*",FN_MC!AP108)</f>
        <v>250</v>
      </c>
      <c r="N131" s="118" t="str">
        <f>IF(FN_MC!AM108="","*",FN_MC!AM108)</f>
        <v>TVI-TJA</v>
      </c>
      <c r="O131" s="136">
        <f>FN_MC!BH108</f>
        <v>0</v>
      </c>
      <c r="P131" s="78"/>
      <c r="Q131" s="120" t="str">
        <f>IF($A$2=1,IF(FN_MC!BJ108="","*",FN_MC!BJ108),IF(FN_MC!BK108="","*",FN_MC!BK108))</f>
        <v>Sem oportunidade de faixa</v>
      </c>
    </row>
    <row r="132" spans="1:17">
      <c r="A132" s="85">
        <f>IF(FN_MC!B109="","*",FN_MC!B109)</f>
        <v>46064</v>
      </c>
      <c r="B132" s="86" t="str">
        <f>IF(FN_MC!X109="","*",FN_MC!X109)</f>
        <v>Oportunidade</v>
      </c>
      <c r="C132" s="87" t="str">
        <f>IF(FN_MC!S109="","*",FN_MC!S109)</f>
        <v>FERRONORTE</v>
      </c>
      <c r="D132" s="87" t="str">
        <f>IF(FN_MC!T109="","*",FN_MC!T109)</f>
        <v>TMI-TCS</v>
      </c>
      <c r="E132" s="87" t="str">
        <f>IF(FN_MC!D109="","*",FN_MC!D109)</f>
        <v>MARCOS (TF-520)</v>
      </c>
      <c r="F132" s="87" t="str">
        <f>IF(FN_MC!H109="","*",FN_MC!H109)</f>
        <v>TAPK35</v>
      </c>
      <c r="G132" s="87" t="str">
        <f>IF(FN_MC!M109="","*",FN_MC!M109)</f>
        <v>TAP-TLG</v>
      </c>
      <c r="H132" s="125">
        <f>IF(FN_MC!K109="","*",FN_MC!K109)</f>
        <v>27.555</v>
      </c>
      <c r="I132" s="110">
        <f>IF(FN_MC!O109="","*",FN_MC!O109)</f>
        <v>0.375</v>
      </c>
      <c r="J132" s="110">
        <f>IF(FN_MC!P109="","*",FN_MC!P109)</f>
        <v>8.3333333333333329E-2</v>
      </c>
      <c r="K132" s="118" t="str">
        <f>IF(FN_MC!AK109="","*",FN_MC!AK109)</f>
        <v>TAPK35</v>
      </c>
      <c r="L132" s="118" t="str">
        <f>IF(FN_MC!AM109="","*",FN_MC!AM109)</f>
        <v>TAP-TLG</v>
      </c>
      <c r="M132" s="118">
        <f>IF(FN_MC!AP109="","*",FN_MC!AP109)</f>
        <v>27.555</v>
      </c>
      <c r="N132" s="118" t="str">
        <f>IF(FN_MC!AM109="","*",FN_MC!AM109)</f>
        <v>TAP-TLG</v>
      </c>
      <c r="O132" s="136">
        <f>FN_MC!BH109</f>
        <v>1</v>
      </c>
      <c r="P132" s="78"/>
      <c r="Q132" s="120" t="str">
        <f>IF($A$2=1,IF(FN_MC!BJ109="","*",FN_MC!BJ109),IF(FN_MC!BK109="","*",FN_MC!BK109))</f>
        <v>Previsão de faixa após I05- Intervalo das 12:3h as 14:33h</v>
      </c>
    </row>
    <row r="133" spans="1:17">
      <c r="A133" s="85">
        <f>IF(FN_MC!B110="","*",FN_MC!B110)</f>
        <v>46064</v>
      </c>
      <c r="B133" s="86" t="str">
        <f>IF(FN_MC!X110="","*",FN_MC!X110)</f>
        <v>Oportunidade</v>
      </c>
      <c r="C133" s="87" t="str">
        <f>IF(FN_MC!S110="","*",FN_MC!S110)</f>
        <v>FERRONORTE</v>
      </c>
      <c r="D133" s="87" t="str">
        <f>IF(FN_MC!T110="","*",FN_MC!T110)</f>
        <v>TMI-TCS</v>
      </c>
      <c r="E133" s="87" t="str">
        <f>IF(FN_MC!D110="","*",FN_MC!D110)</f>
        <v>ANISIO (TF-514)</v>
      </c>
      <c r="F133" s="87" t="str">
        <f>IF(FN_MC!H110="","*",FN_MC!H110)</f>
        <v>TAPK35</v>
      </c>
      <c r="G133" s="87" t="str">
        <f>IF(FN_MC!M110="","*",FN_MC!M110)</f>
        <v>TAP-TLG</v>
      </c>
      <c r="H133" s="125">
        <f>IF(FN_MC!K110="","*",FN_MC!K110)</f>
        <v>27.555</v>
      </c>
      <c r="I133" s="110">
        <f>IF(FN_MC!O110="","*",FN_MC!O110)</f>
        <v>0.375</v>
      </c>
      <c r="J133" s="110">
        <f>IF(FN_MC!P110="","*",FN_MC!P110)</f>
        <v>8.3333333333333329E-2</v>
      </c>
      <c r="K133" s="118" t="str">
        <f>IF(FN_MC!AK110="","*",FN_MC!AK110)</f>
        <v>TAPK35</v>
      </c>
      <c r="L133" s="118" t="str">
        <f>IF(FN_MC!AM110="","*",FN_MC!AM110)</f>
        <v>TAP-TLG</v>
      </c>
      <c r="M133" s="118">
        <f>IF(FN_MC!AP110="","*",FN_MC!AP110)</f>
        <v>27.555</v>
      </c>
      <c r="N133" s="118" t="str">
        <f>IF(FN_MC!AM110="","*",FN_MC!AM110)</f>
        <v>TAP-TLG</v>
      </c>
      <c r="O133" s="136">
        <f>FN_MC!BH110</f>
        <v>1</v>
      </c>
      <c r="P133" s="78"/>
      <c r="Q133" s="120" t="str">
        <f>IF($A$2=1,IF(FN_MC!BJ110="","*",FN_MC!BJ110),IF(FN_MC!BK110="","*",FN_MC!BK110))</f>
        <v>Previsão de faixa após I05- Intervalo das 12:3h as 14:33h</v>
      </c>
    </row>
    <row r="134" spans="1:17">
      <c r="A134" s="85">
        <f>IF(FN_MC!B111="","*",FN_MC!B111)</f>
        <v>46064</v>
      </c>
      <c r="B134" s="86" t="str">
        <f>IF(FN_MC!X111="","*",FN_MC!X111)</f>
        <v>Oportunidade</v>
      </c>
      <c r="C134" s="87" t="str">
        <f>IF(FN_MC!S111="","*",FN_MC!S111)</f>
        <v>MALHA CENTRAL</v>
      </c>
      <c r="D134" s="87" t="str">
        <f>IF(FN_MC!T111="","*",FN_MC!T111)</f>
        <v>PPN-POV</v>
      </c>
      <c r="E134" s="87" t="str">
        <f>IF(FN_MC!D111="","*",FN_MC!D111)</f>
        <v xml:space="preserve">TURMA FIXA VIA </v>
      </c>
      <c r="F134" s="87" t="str">
        <f>IF(FN_MC!H111="","*",FN_MC!H111)</f>
        <v>POVPJA</v>
      </c>
      <c r="G134" s="87" t="str">
        <f>IF(FN_MC!M111="","*",FN_MC!M111)</f>
        <v>PJA-POV</v>
      </c>
      <c r="H134" s="125">
        <f>IF(FN_MC!K111="","*",FN_MC!K111)</f>
        <v>1505.85</v>
      </c>
      <c r="I134" s="110">
        <f>IF(FN_MC!O111="","*",FN_MC!O111)</f>
        <v>0.41666666666666669</v>
      </c>
      <c r="J134" s="110">
        <f>IF(FN_MC!P111="","*",FN_MC!P111)</f>
        <v>8.3333333333333329E-2</v>
      </c>
      <c r="K134" s="118" t="str">
        <f>IF(FN_MC!AK111="","*",FN_MC!AK111)</f>
        <v>POVPJA</v>
      </c>
      <c r="L134" s="118" t="str">
        <f>IF(FN_MC!AM111="","*",FN_MC!AM111)</f>
        <v>PJA-POV</v>
      </c>
      <c r="M134" s="118">
        <f>IF(FN_MC!AP111="","*",FN_MC!AP111)</f>
        <v>1505.85</v>
      </c>
      <c r="N134" s="118" t="str">
        <f>IF(FN_MC!AM111="","*",FN_MC!AM111)</f>
        <v>PJA-POV</v>
      </c>
      <c r="O134" s="136">
        <f>FN_MC!BH111</f>
        <v>2</v>
      </c>
      <c r="P134" s="78"/>
      <c r="Q134" s="120" t="str">
        <f>IF($A$2=1,IF(FN_MC!BJ111="","*",FN_MC!BJ111),IF(FN_MC!BK111="","*",FN_MC!BK111))</f>
        <v>Intervalo das 11:04h as 13:05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V86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W70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FERNANDO (TF-19)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BRUNO (TF-525)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W50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V66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2026-02-11T16:27:49Z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