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807" documentId="8_{B6337239-1A00-434D-AAD0-422EA1FEB5AE}" xr6:coauthVersionLast="47" xr6:coauthVersionMax="47" xr10:uidLastSave="{E8959FA1-BCBE-4A38-8DE8-B0F894835F05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97" i="1" l="1"/>
  <c r="T107" i="1" a="1"/>
  <c r="T107" i="1"/>
  <c r="S107" i="1" a="1"/>
  <c r="S107" i="1"/>
  <c r="N107" i="1" a="1"/>
  <c r="N107" i="1"/>
  <c r="M107" i="1" a="1"/>
  <c r="M107" i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L106" i="16"/>
  <c r="R107" i="1"/>
  <c r="R106" i="16" s="1"/>
  <c r="D106" i="16"/>
  <c r="E106" i="16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L111" i="16"/>
  <c r="R112" i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9" i="1" l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N606" i="11" s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V3" i="16" s="1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<sst xmlns="http://schemas.openxmlformats.org/spreadsheetml/2006/main" count="5024" uniqueCount="1472">
  <si>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</si>
  <si>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</si>
  <si>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</si>
  <si>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</si>
  <si>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</si>
  <si>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</si>
  <si>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</si>
  <si>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</si>
  <si>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</si>
  <si>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</si>
  <si>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</si>
  <si>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</si>
  <si>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</si>
  <si>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</si>
  <si>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</si>
  <si>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</si>
  <si>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</si>
  <si>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</si>
  <si>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</si>
  <si>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</si>
  <si>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</si>
  <si>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</si>
  <si>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</si>
  <si>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</si>
  <si>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</si>
  <si>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</si>
  <si>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</si>
  <si>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</si>
  <si>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</si>
  <si>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</si>
  <si>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</si>
  <si>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</si>
  <si>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</si>
  <si>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</si>
  <si>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</si>
  <si>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</si>
  <si>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</si>
  <si>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</si>
  <si>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</si>
  <si>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</si>
  <si>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</si>
  <si>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</si>
  <si>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</si>
  <si>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</si>
  <si>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</si>
  <si>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</si>
  <si>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</si>
  <si>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</si>
  <si>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</si>
  <si>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</si>
  <si>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</si>
  <si>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</si>
  <si>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</si>
  <si>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</si>
  <si>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</si>
  <si>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</si>
  <si>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</si>
  <si>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</si>
  <si>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</si>
  <si>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</si>
  <si>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</si>
  <si>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</si>
  <si>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</si>
  <si>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</si>
  <si>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</si>
  <si>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</si>
  <si>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</si>
  <si>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</si>
  <si>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</si>
  <si>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</si>
  <si>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</si>
  <si>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</si>
  <si>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</si>
  <si>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</si>
  <si>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</si>
  <si>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</si>
  <si>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</si>
  <si>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</si>
  <si>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</si>
  <si>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</si>
  <si>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</si>
  <si>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</si>
  <si>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</si>
  <si>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</si>
  <si>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</si>
  <si>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</si>
  <si>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</si>
  <si>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</si>
  <si>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</si>
  <si>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</si>
  <si>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</si>
  <si>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</si>
  <si>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</si>
  <si>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</si>
  <si>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</si>
  <si>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</si>
  <si>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</si>
  <si>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</si>
  <si>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</si>
  <si>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</si>
  <si>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</si>
  <si>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</si>
  <si>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</si>
  <si>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</si>
  <si>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</si>
  <si>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</si>
  <si>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</si>
  <si>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</si>
  <si>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</si>
  <si>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</si>
  <si>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</si>
  <si>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</si>
  <si>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</si>
  <si>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</si>
  <si>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</si>
  <si>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</si>
  <si>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</si>
  <si>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</si>
  <si>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</si>
  <si>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</si>
  <si>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</si>
  <si>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</si>
  <si>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</si>
  <si>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</si>
  <si>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</si>
  <si>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</si>
  <si>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</si>
  <si>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</si>
  <si>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</si>
  <si>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</si>
  <si>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</si>
  <si>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</si>
  <si>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</si>
  <si>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</si>
  <si>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</si>
  <si>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</si>
  <si>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</si>
  <si>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</si>
  <si>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</si>
  <si>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</si>
  <si>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</si>
  <si>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</si>
  <si>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</si>
  <si>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</si>
  <si>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</si>
  <si>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</si>
  <si>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</si>
  <si>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</si>
  <si>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</si>
  <si>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</si>
  <si>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</si>
  <si>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</si>
  <si>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</si>
  <si>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</si>
  <si>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</si>
  <si>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</si>
  <si>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</si>
  <si>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</si>
  <si>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</si>
  <si>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</si>
  <si>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</si>
  <si>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</si>
  <si>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</si>
  <si>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</si>
  <si>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</si>
  <si>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</si>
  <si>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</si>
  <si>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</si>
  <si>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</si>
  <si>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</si>
  <si>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</si>
  <si>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</si>
  <si>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</si>
  <si>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</si>
  <si>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</si>
  <si>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</si>
  <si>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</si>
  <si>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</si>
  <si>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</si>
  <si>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</si>
  <si>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</si>
  <si>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</si>
  <si>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</si>
  <si>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</si>
  <si>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</si>
  <si>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</si>
  <si>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</si>
  <si>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</si>
  <si>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</si>
  <si>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</si>
  <si>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</si>
  <si>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</si>
  <si>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</si>
  <si>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</si>
  <si>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</si>
  <si>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</si>
  <si>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</si>
  <si>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</si>
  <si>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</si>
  <si>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</si>
  <si>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</si>
  <si>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</si>
  <si>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</si>
  <si>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</si>
  <si>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</si>
  <si>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</si>
  <si>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</si>
  <si>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</si>
  <si>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</si>
  <si>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</si>
  <si>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</si>
  <si>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</si>
  <si>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</si>
  <si>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</si>
  <si>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</si>
  <si>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</si>
  <si>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</si>
  <si>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</si>
  <si>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</si>
  <si>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</si>
  <si>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</si>
  <si>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</si>
  <si>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</si>
  <si>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</si>
  <si>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</si>
  <si>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</si>
  <si>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</si>
  <si>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</si>
  <si>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</si>
  <si>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</si>
  <si>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</si>
  <si>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</si>
  <si>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</si>
  <si>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</si>
  <si>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</si>
  <si>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</si>
  <si>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</si>
  <si>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</si>
  <si>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</si>
  <si>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</si>
  <si>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</si>
  <si>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</si>
  <si>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</si>
  <si>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</si>
  <si>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</si>
  <si>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</si>
  <si>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</si>
  <si>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</si>
  <si>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</si>
  <si>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</si>
  <si>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</si>
  <si>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</si>
  <si>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</si>
  <si>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</si>
  <si>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</si>
  <si>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</si>
  <si>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</si>
  <si>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</si>
  <si>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</si>
  <si>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</si>
  <si>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</si>
  <si>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</si>
  <si>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</si>
  <si>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</si>
  <si>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</si>
  <si>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</si>
  <si>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</si>
  <si>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</si>
  <si>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</si>
  <si>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</si>
  <si>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</si>
  <si>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</si>
  <si>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</si>
  <si>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</si>
  <si>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</si>
  <si>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</si>
  <si>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</si>
  <si>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</si>
  <si>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</si>
  <si>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</si>
  <si>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</si>
  <si>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</si>
  <si>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</si>
  <si>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</si>
  <si>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</si>
  <si>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</si>
  <si>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</si>
  <si>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</si>
  <si>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</si>
  <si>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</si>
  <si>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</si>
  <si>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</si>
  <si>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</si>
  <si>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</si>
  <si>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</si>
  <si>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</si>
  <si>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</si>
  <si>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</si>
  <si>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</si>
  <si>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</si>
  <si>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</si>
  <si>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</si>
  <si>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</si>
  <si>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</si>
  <si>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</si>
  <si>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</si>
  <si>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</si>
  <si>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</si>
  <si>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</si>
  <si>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</si>
  <si>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</si>
  <si>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</si>
  <si>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</si>
  <si>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</si>
  <si>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</si>
  <si>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</si>
  <si>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</si>
  <si>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</si>
  <si>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</si>
  <si>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</si>
  <si>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</si>
  <si>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</si>
  <si>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</si>
  <si>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</si>
  <si>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</si>
  <si>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</si>
  <si>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</si>
  <si>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</si>
  <si>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</si>
  <si>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</si>
  <si>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</si>
  <si>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</si>
  <si>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</si>
  <si>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</si>
  <si>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</si>
  <si>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</si>
  <si>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</si>
  <si>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</si>
  <si>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</si>
  <si>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</si>
  <si>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</si>
  <si>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</si>
  <si>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</si>
  <si>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</si>
  <si>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</si>
  <si>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</si>
  <si>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</si>
  <si>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</si>
  <si>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</si>
  <si>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</si>
  <si>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</si>
  <si>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</si>
  <si>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</si>
  <si>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</si>
  <si>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</si>
  <si>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</si>
  <si>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</si>
  <si>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</si>
  <si>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</si>
  <si>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</si>
  <si>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</si>
  <si>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</si>
  <si>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</si>
  <si>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</si>
  <si>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</si>
  <si>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</si>
  <si>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</si>
  <si>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</si>
  <si>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</si>
  <si>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</si>
  <si>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</si>
  <si>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</si>
  <si>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</si>
  <si>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</si>
  <si>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</si>
  <si>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</si>
  <si>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</si>
  <si>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</si>
  <si>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</si>
  <si>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</si>
  <si>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</si>
  <si>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</si>
  <si>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</si>
  <si>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</si>
  <si>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</si>
  <si>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</si>
  <si>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</si>
  <si>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</si>
  <si>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</si>
  <si>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</si>
  <si>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</si>
  <si>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</si>
  <si>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</si>
  <si>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</si>
  <si>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</si>
  <si>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</si>
  <si>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</si>
  <si>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</si>
  <si>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</si>
  <si>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</si>
  <si>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</si>
  <si>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</si>
  <si>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</si>
  <si>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</si>
  <si>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</si>
  <si>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</si>
  <si>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</si>
  <si>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</si>
  <si>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</si>
  <si>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</si>
  <si>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</si>
  <si>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</si>
  <si>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</si>
  <si>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</si>
  <si>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</si>
  <si>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</si>
  <si>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</si>
  <si>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</si>
  <si>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</si>
  <si>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</si>
  <si>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</si>
  <si>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</si>
  <si>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</si>
  <si>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</si>
  <si>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</si>
  <si>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</si>
  <si>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</si>
  <si>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</si>
  <si>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</si>
  <si>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</si>
  <si>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</si>
  <si>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</si>
  <si>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</si>
  <si>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</si>
  <si>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</si>
  <si>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</si>
  <si>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</si>
  <si>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</si>
  <si>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</si>
  <si>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</si>
  <si>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</si>
  <si>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</si>
  <si>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</si>
  <si>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</si>
  <si>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</si>
  <si>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</si>
  <si>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</si>
  <si>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</si>
  <si>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</si>
  <si>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</si>
  <si>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</si>
  <si>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</si>
  <si>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</si>
  <si>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</si>
  <si>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</si>
  <si>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</si>
  <si>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</si>
  <si>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</si>
  <si>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</si>
  <si>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</si>
  <si>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</si>
  <si>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</si>
  <si>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</si>
  <si>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</si>
  <si>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</si>
  <si>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</si>
  <si>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</si>
  <si>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</si>
  <si>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</si>
  <si>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</si>
  <si>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</si>
  <si>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</si>
  <si>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</si>
  <si>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</si>
  <si>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</si>
  <si>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</si>
  <si>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</si>
  <si>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</si>
  <si>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</si>
  <si>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</si>
  <si>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</si>
  <si>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</si>
  <si>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</si>
  <si>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</si>
  <si>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</si>
  <si>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</si>
  <si>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</si>
  <si>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</si>
  <si>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</si>
  <si>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</si>
  <si>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</si>
  <si>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</si>
  <si>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</si>
  <si>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</si>
  <si>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</si>
  <si>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</si>
  <si>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</si>
  <si>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</si>
  <si>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</si>
  <si>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</si>
  <si>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</si>
  <si>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</si>
  <si>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</si>
  <si>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</si>
  <si>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</si>
  <si>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</si>
  <si>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</si>
  <si>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</si>
  <si>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</si>
  <si>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</si>
  <si>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</si>
  <si>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</si>
  <si>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</si>
  <si>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</si>
  <si>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</si>
  <si>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</si>
  <si>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</si>
  <si>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</si>
  <si>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</si>
  <si>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</si>
  <si>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</si>
  <si>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</si>
  <si>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</si>
  <si>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</si>
  <si>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</si>
  <si>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</si>
  <si>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</si>
  <si>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</si>
  <si>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</si>
  <si>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</si>
  <si>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</si>
  <si>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</si>
  <si>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</si>
  <si>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</si>
  <si>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</si>
  <si>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</si>
  <si>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</si>
  <si>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</si>
  <si>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</si>
  <si>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</si>
  <si>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</si>
  <si>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</si>
  <si>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</si>
  <si>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</si>
  <si>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</si>
  <si>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</si>
  <si>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</si>
  <si>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</si>
  <si>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</si>
  <si>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</si>
  <si>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</si>
  <si>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</si>
  <si>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</si>
  <si>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</si>
  <si>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</si>
  <si>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</si>
  <si>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</si>
  <si>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</si>
  <si>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</si>
  <si>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</si>
  <si>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</si>
  <si>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</si>
  <si>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</si>
  <si>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</si>
  <si>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</si>
  <si>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</si>
  <si>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</si>
  <si>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</si>
  <si>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</si>
  <si>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</si>
  <si>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</si>
  <si>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</si>
  <si>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</si>
  <si>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</si>
  <si>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</si>
  <si>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</si>
  <si>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</si>
  <si>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</si>
  <si>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</si>
  <si>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</si>
  <si>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</si>
  <si>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</si>
  <si>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</si>
  <si>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</si>
  <si>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</si>
  <si>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</si>
  <si>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</si>
  <si>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</si>
  <si>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</si>
  <si>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</si>
  <si>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</si>
  <si>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</si>
  <si>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</si>
  <si>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</si>
  <si>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</si>
  <si>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</si>
  <si>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</si>
  <si>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</si>
  <si>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</si>
  <si>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</si>
  <si>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</si>
  <si>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</si>
  <si>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</si>
  <si>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</si>
  <si>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</si>
  <si>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</si>
  <si>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</si>
  <si>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</si>
  <si>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</si>
  <si>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</si>
  <si>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</si>
  <si>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</si>
  <si>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</si>
  <si>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</si>
  <si>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</si>
  <si>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</si>
  <si>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</si>
  <si>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</si>
  <si>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</si>
  <si>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</si>
  <si>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</si>
  <si>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</si>
  <si>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</si>
  <si>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</si>
  <si>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</si>
  <si>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</si>
  <si>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</si>
  <si>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</si>
  <si>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</si>
  <si>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</si>
  <si>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</si>
  <si>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</si>
  <si>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</si>
  <si>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</si>
  <si>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</si>
  <si>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</si>
  <si>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</si>
  <si>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</si>
  <si>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</si>
  <si>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</si>
  <si>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</si>
  <si>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</si>
  <si>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</si>
  <si>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</si>
  <si>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</si>
  <si>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</si>
  <si>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</si>
  <si>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</si>
  <si>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</si>
  <si>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</si>
  <si>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</si>
  <si>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</si>
  <si>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</si>
  <si>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</si>
  <si>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</si>
  <si>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</si>
  <si>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</si>
  <si>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</si>
  <si>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</si>
  <si>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</si>
  <si>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</si>
  <si>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</si>
  <si>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</si>
  <si>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</si>
  <si>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</si>
  <si>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</si>
  <si>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</si>
  <si>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</si>
  <si>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</si>
  <si>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</si>
  <si>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</si>
  <si>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</si>
  <si>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</si>
  <si>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</si>
  <si>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</si>
  <si>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</si>
  <si>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</si>
  <si>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</si>
  <si>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</si>
  <si>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</si>
  <si>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</si>
  <si>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</si>
  <si>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</si>
  <si>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</si>
  <si>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</si>
  <si>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</si>
  <si>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</si>
  <si>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</si>
  <si>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</si>
  <si>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</si>
  <si>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</si>
  <si>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</si>
  <si>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</si>
  <si>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</si>
  <si>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</si>
  <si>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</si>
  <si>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</si>
  <si>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</si>
  <si>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</si>
  <si>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</si>
  <si>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</si>
  <si>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</si>
  <si>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</si>
  <si>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</si>
  <si>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</si>
  <si>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</si>
  <si>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</si>
  <si>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</si>
  <si>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</si>
  <si>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</si>
  <si>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</si>
  <si>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</si>
  <si>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</si>
  <si>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</si>
  <si>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</si>
  <si>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</si>
  <si>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</si>
  <si>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</si>
  <si>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</si>
  <si>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</si>
  <si>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</si>
  <si>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</si>
  <si>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</si>
  <si>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</si>
  <si>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</si>
  <si>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</si>
  <si>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</si>
  <si>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</si>
  <si>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</si>
  <si>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</si>
  <si>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</si>
  <si>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</si>
  <si>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</si>
  <si>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</si>
  <si>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</si>
  <si>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</si>
  <si>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</si>
  <si>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</si>
  <si>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</si>
  <si>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</si>
  <si>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</si>
  <si>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</si>
  <si>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</si>
  <si>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</si>
  <si>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</si>
  <si>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</si>
  <si>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</si>
  <si>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</si>
  <si>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</si>
  <si>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</si>
  <si>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</si>
  <si>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</si>
  <si>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</si>
  <si>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</si>
  <si>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</si>
  <si>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</si>
  <si>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</si>
  <si>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</si>
  <si>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</si>
  <si>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</si>
  <si>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</si>
  <si>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</si>
  <si>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</si>
  <si>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</si>
  <si>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</si>
  <si>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</si>
  <si>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</si>
  <si>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</si>
  <si>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</si>
  <si>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</si>
  <si>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</si>
  <si>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</si>
  <si>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</si>
  <si>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</si>
  <si>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</si>
  <si>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</si>
  <si>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</si>
  <si>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</si>
  <si>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</si>
  <si>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</si>
  <si>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</si>
  <si>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</si>
  <si>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</si>
  <si>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</si>
  <si>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</si>
  <si>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</si>
  <si>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</si>
  <si>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</si>
  <si>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</si>
  <si>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</si>
  <si>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</si>
  <si>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</si>
  <si>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</si>
  <si>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</si>
  <si>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</si>
  <si>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</si>
  <si>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</si>
  <si>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</si>
  <si>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</si>
  <si>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</si>
  <si>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</si>
  <si>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</si>
  <si>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</si>
  <si>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</si>
  <si>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</si>
  <si>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</si>
  <si>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</si>
  <si>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</si>
  <si>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</si>
  <si>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</si>
  <si>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</si>
  <si>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</si>
  <si>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</si>
  <si>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</si>
  <si>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</si>
  <si>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</si>
  <si>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</si>
  <si>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</si>
  <si>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</si>
  <si>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</si>
  <si>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</si>
  <si>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</si>
  <si>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</si>
  <si>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</si>
  <si>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</si>
  <si>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</si>
  <si>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</si>
  <si>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</si>
  <si>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</si>
  <si>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</si>
  <si>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</si>
  <si>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</si>
  <si>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</si>
  <si>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</si>
  <si>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</si>
  <si>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</si>
  <si>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</si>
  <si>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</si>
  <si>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</si>
  <si>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</si>
  <si>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</si>
  <si>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</si>
  <si>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</si>
  <si>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</si>
  <si>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</si>
  <si>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</si>
  <si>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</si>
  <si>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</si>
  <si>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</si>
  <si>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</si>
  <si>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</si>
  <si>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</si>
  <si>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</si>
  <si>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</si>
  <si>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</si>
  <si>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</si>
  <si>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</si>
  <si>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</si>
  <si>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</si>
  <si>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</si>
  <si>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</si>
  <si>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</si>
  <si>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</si>
  <si>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</si>
  <si>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</si>
  <si>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</si>
  <si>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</si>
  <si>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</si>
  <si>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</si>
  <si>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</si>
  <si>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</si>
  <si>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</si>
  <si>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</si>
  <si>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</si>
  <si>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</si>
  <si>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</si>
  <si>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</si>
  <si>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</si>
  <si>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</si>
  <si>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</si>
  <si>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</si>
  <si>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</si>
  <si>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</si>
  <si>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</si>
  <si>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</si>
  <si>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</si>
  <si>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</si>
  <si>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</si>
  <si>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</si>
  <si>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</si>
  <si>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</si>
  <si>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</si>
  <si>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</si>
  <si>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</si>
  <si>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</si>
  <si>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</si>
  <si>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</si>
  <si>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</si>
  <si>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</si>
  <si>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</si>
  <si>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</si>
  <si>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</si>
  <si>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</si>
  <si>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</si>
  <si>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</si>
  <si>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</si>
  <si>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</si>
  <si>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</si>
  <si>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</si>
  <si>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</si>
  <si>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</si>
  <si>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</si>
  <si>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</si>
  <si>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</si>
  <si>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</si>
  <si>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</si>
  <si>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</si>
  <si>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</si>
  <si>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</si>
  <si>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</si>
  <si>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</si>
  <si>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</si>
  <si>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</si>
  <si>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</si>
  <si>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</si>
  <si>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</si>
  <si>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</si>
  <si>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</si>
  <si>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</si>
  <si>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</si>
  <si>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</si>
  <si>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</si>
  <si>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</si>
  <si>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</si>
  <si>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</si>
  <si>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</si>
  <si>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</si>
  <si>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</si>
  <si>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</si>
  <si>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</si>
  <si>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</si>
  <si>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</si>
  <si>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</si>
  <si>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</si>
  <si>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</si>
  <si>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</si>
  <si>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</si>
  <si>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</si>
  <si>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</si>
  <si>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</si>
  <si>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</si>
  <si>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</si>
  <si>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</si>
  <si>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</si>
  <si>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</si>
  <si>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</si>
  <si>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</si>
  <si>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</si>
  <si>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</si>
  <si>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</si>
  <si>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</si>
  <si>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</si>
  <si>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</si>
  <si>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</si>
  <si>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</si>
  <si>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</si>
  <si>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</si>
  <si>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</si>
  <si>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</si>
  <si>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</si>
  <si>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</si>
  <si>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</si>
  <si>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</si>
  <si>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</si>
  <si>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</si>
  <si>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</si>
  <si>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</si>
  <si>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</si>
  <si>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</si>
  <si>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</si>
  <si>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</si>
  <si>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</si>
  <si>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</si>
  <si>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</si>
  <si>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</si>
  <si>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</si>
  <si>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</si>
  <si>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</si>
  <si>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</si>
  <si>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</si>
  <si>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</si>
  <si>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</si>
  <si>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</si>
  <si>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</si>
  <si>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</si>
  <si>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</si>
  <si>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</si>
  <si>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</si>
  <si>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</si>
  <si>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</si>
  <si>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</si>
  <si>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</si>
  <si>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</si>
  <si>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</si>
  <si>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</si>
  <si>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</si>
  <si>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</si>
  <si>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</si>
  <si>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</si>
  <si>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</si>
  <si>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</si>
  <si>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</si>
  <si>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</si>
  <si>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</si>
  <si>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</si>
  <si>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</si>
  <si>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</si>
  <si>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</si>
  <si>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</si>
  <si>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</si>
  <si>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</si>
  <si>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</si>
  <si>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</si>
  <si>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</si>
  <si>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</si>
  <si>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</si>
  <si>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</si>
  <si>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</si>
  <si>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</si>
  <si>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</si>
  <si>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</si>
  <si>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</si>
  <si>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</si>
  <si>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</si>
  <si>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</si>
  <si>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</si>
  <si>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</si>
  <si>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</si>
  <si>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</si>
  <si>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</si>
  <si>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</si>
  <si>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</si>
  <si>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</si>
  <si>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</si>
  <si>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</si>
  <si>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</si>
  <si>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</si>
  <si>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</si>
  <si>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</si>
  <si>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</si>
  <si>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</si>
  <si>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</si>
  <si>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</si>
  <si>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</si>
  <si>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</si>
  <si>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</si>
  <si>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</si>
  <si>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</si>
  <si>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</si>
  <si>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</si>
  <si>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</si>
  <si>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</si>
  <si>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</si>
  <si>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</si>
  <si>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</si>
  <si>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</si>
  <si>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</si>
  <si>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</si>
  <si>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</si>
  <si>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</si>
  <si>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</si>
  <si>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</si>
  <si>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</si>
  <si>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</si>
  <si>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</si>
  <si>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</si>
  <si>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</si>
  <si>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</si>
  <si>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</si>
  <si>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</si>
  <si>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</si>
  <si>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</si>
  <si>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</si>
  <si>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</si>
  <si>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</si>
  <si>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</si>
  <si>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</si>
  <si>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</si>
  <si>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</si>
  <si>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</si>
  <si>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</si>
  <si>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</si>
  <si>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</si>
  <si>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</si>
  <si>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</si>
  <si>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</si>
  <si>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</si>
  <si>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</si>
  <si>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</si>
  <si>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</si>
  <si>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</si>
  <si>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</si>
  <si>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</si>
  <si>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</si>
  <si>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</si>
  <si>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</si>
  <si>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</si>
  <si>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</si>
  <si>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</si>
  <si>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</si>
  <si>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</si>
  <si>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</si>
  <si>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</si>
  <si>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</si>
  <si>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</si>
  <si>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</si>
  <si>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</si>
  <si>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</si>
  <si>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</si>
  <si>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</si>
  <si>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</si>
  <si>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</si>
  <si>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</si>
  <si>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</si>
  <si>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</si>
  <si>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</si>
  <si>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</si>
  <si>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</si>
  <si>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</si>
  <si>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</si>
  <si>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</si>
  <si>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</si>
  <si>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</si>
  <si>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</si>
  <si>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</si>
  <si>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</si>
  <si>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</si>
  <si>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</si>
  <si>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</si>
  <si>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</si>
  <si>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</si>
  <si>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</si>
  <si>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</si>
  <si>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</si>
  <si>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</si>
  <si>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</si>
  <si>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</si>
  <si>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</si>
  <si>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</si>
  <si>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</si>
  <si>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</si>
  <si>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</si>
  <si>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</si>
  <si>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</si>
  <si>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</si>
  <si>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</si>
  <si>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</si>
  <si>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</si>
  <si>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</si>
  <si>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</si>
  <si>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</si>
  <si>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</si>
  <si>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</si>
  <si>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</si>
  <si>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</si>
  <si>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</si>
  <si>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</si>
  <si>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</si>
  <si>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</si>
  <si>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</si>
  <si>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</si>
  <si>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</si>
  <si>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</si>
  <si>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</si>
  <si>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</si>
  <si>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</si>
  <si>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</si>
  <si>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</si>
  <si>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</si>
  <si>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</si>
  <si>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</si>
  <si>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</si>
  <si>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</si>
  <si>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</si>
  <si>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</si>
  <si>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</si>
  <si>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</si>
  <si>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</si>
  <si>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</si>
  <si>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</si>
  <si>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</si>
  <si>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</si>
  <si>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</si>
  <si>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</si>
  <si>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</si>
  <si>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</si>
  <si>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</si>
  <si>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</si>
  <si>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</si>
  <si>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</si>
  <si>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</si>
  <si>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</si>
  <si>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</si>
  <si>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</si>
  <si>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</si>
  <si>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</si>
  <si>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</si>
  <si>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</si>
  <si>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</si>
  <si>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</si>
  <si>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</si>
  <si>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</si>
  <si>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</si>
  <si>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</si>
  <si>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</si>
  <si>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</si>
  <si>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</si>
  <si>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</si>
  <si>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</si>
  <si>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</si>
  <si>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</si>
  <si>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</si>
  <si>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</si>
  <si>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</si>
  <si>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</si>
  <si>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</si>
  <si>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</si>
  <si>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</si>
  <si>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</si>
  <si>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</si>
  <si>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</si>
  <si>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</si>
  <si>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</si>
  <si>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</si>
  <si>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</si>
  <si>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</si>
  <si>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</si>
  <si>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</si>
  <si>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</si>
  <si>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</si>
  <si>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</si>
  <si>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</si>
  <si>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</si>
  <si>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</si>
  <si>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</si>
  <si>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</si>
  <si>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</si>
  <si>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</si>
  <si>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</si>
  <si>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</si>
  <si>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</si>
  <si>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</si>
  <si>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</si>
  <si>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</si>
  <si>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</si>
  <si>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</si>
  <si>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</si>
  <si>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</si>
  <si>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</si>
  <si>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</si>
  <si>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</si>
  <si>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</si>
  <si>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</si>
  <si>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</si>
  <si>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</si>
  <si>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</si>
  <si>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</si>
  <si>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</si>
  <si>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</si>
  <si>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</si>
  <si>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</si>
  <si>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</si>
  <si>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</si>
  <si>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</si>
  <si>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</si>
  <si>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</si>
  <si>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</si>
  <si>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</si>
  <si>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</si>
  <si>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</si>
  <si>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</si>
  <si>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</si>
  <si>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</si>
  <si>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</si>
  <si>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</si>
  <si>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</si>
  <si>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</si>
  <si>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</si>
  <si>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</si>
  <si>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</si>
  <si>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</si>
  <si>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</si>
  <si>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</si>
  <si>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</si>
  <si>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</si>
  <si>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</si>
  <si>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</si>
  <si>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</si>
  <si>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</si>
  <si>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</si>
  <si>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</si>
  <si>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</si>
  <si>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</si>
  <si>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</si>
  <si>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</si>
  <si>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</si>
  <si>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</si>
  <si>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</si>
  <si>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</si>
  <si>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</si>
  <si>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</si>
  <si>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</si>
  <si>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</si>
  <si>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</si>
  <si>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</si>
  <si>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</si>
  <si>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</si>
  <si>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</si>
  <si>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</si>
  <si>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</si>
  <si>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</si>
  <si>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</si>
  <si>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</si>
  <si>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</si>
  <si>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</si>
  <si>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</si>
  <si>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</si>
  <si>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</si>
  <si>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</si>
  <si>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</si>
  <si>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</si>
  <si>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</si>
  <si>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</si>
  <si>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</si>
  <si>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</si>
  <si>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</si>
  <si>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</si>
  <si>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</si>
  <si>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</si>
  <si>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</si>
  <si>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</si>
  <si>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</si>
  <si>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</si>
  <si>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</si>
  <si>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</si>
  <si>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</si>
  <si>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</si>
  <si>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</si>
  <si>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</si>
  <si>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</si>
  <si>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</si>
  <si>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</si>
  <si>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</si>
  <si>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</si>
  <si>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</si>
  <si>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</si>
  <si>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</si>
  <si>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</si>
  <si>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</si>
  <si>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</si>
  <si>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</si>
  <si>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</si>
  <si>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</si>
  <si>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</si>
  <si>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</si>
  <si>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</si>
  <si>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</si>
  <si>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</si>
  <si>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</si>
  <si>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</si>
  <si>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</si>
  <si>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</si>
  <si>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</si>
  <si>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</si>
  <si>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</si>
  <si>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</si>
  <si>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</si>
  <si>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</si>
  <si>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</si>
  <si>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</si>
  <si>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</si>
  <si>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</si>
  <si>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</si>
  <si>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</si>
  <si>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</si>
  <si>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</si>
  <si>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</si>
  <si>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</si>
  <si>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</si>
  <si>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</si>
  <si>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</si>
  <si>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</si>
  <si>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</si>
  <si>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</si>
  <si>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</si>
  <si>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</si>
  <si>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</si>
  <si>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</si>
  <si>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</si>
  <si>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</si>
  <si>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</si>
  <si>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</si>
  <si>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</si>
  <si>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</si>
  <si>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</si>
  <si>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</si>
  <si>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</si>
  <si>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</si>
  <si>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</si>
  <si>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</si>
  <si>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</si>
  <si>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</si>
  <si>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</si>
  <si>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TINPAT2</t>
  </si>
  <si>
    <t>Herbert</t>
  </si>
  <si>
    <t>Descarga de 3 barras km 109</t>
  </si>
  <si>
    <t>MC1 11:29h, manobrando</t>
  </si>
  <si>
    <t>FErnanda</t>
  </si>
  <si>
    <t>Inspeção RIV - vma 45 km/h - inspeção nos pátios a 30 km/h</t>
  </si>
  <si>
    <t>MC1 10:27h - previsão de licenca as 14h</t>
  </si>
  <si>
    <t>MC1 as 08:10 - Em intervalo das 10:02h as 13:02h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</si>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</sst>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AJ1" activePane="topRight" state="frozen"/>
      <selection pane="topRight" activeCell="AR102" sqref="AR10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71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71:BR136" si="10">IF(OR(B80="",F80=""),"*",AY80/P80)</f>
        <v>*</v>
      </c>
      <c r="BS80" s="15" t="str">
        <f t="shared" ref="BS71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1400</v>
      </c>
      <c r="BK85" s="14" t="s">
        <v>1400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 t="s">
        <v>1403</v>
      </c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1405</v>
      </c>
      <c r="BK88" s="14" t="s">
        <v>1405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1406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1</v>
      </c>
      <c r="BI91" s="14"/>
      <c r="BJ91" s="14" t="s">
        <v>1407</v>
      </c>
      <c r="BK91" s="14" t="s">
        <v>1407</v>
      </c>
      <c r="BL91" s="13"/>
      <c r="BM91" s="12"/>
      <c r="BN91" s="12"/>
      <c r="BO91" s="130"/>
      <c r="BP91" s="14"/>
      <c r="BQ91" s="10" t="str">
        <f t="shared" si="9"/>
        <v>Produção</v>
      </c>
      <c r="BR91" s="15">
        <f t="shared" si="10"/>
        <v>0.99999999999999978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1408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1</v>
      </c>
      <c r="BI92" s="14"/>
      <c r="BJ92" s="14" t="s">
        <v>1407</v>
      </c>
      <c r="BK92" s="14" t="s">
        <v>1407</v>
      </c>
      <c r="BL92" s="13"/>
      <c r="BM92" s="12"/>
      <c r="BN92" s="12"/>
      <c r="BO92" s="130"/>
      <c r="BP92" s="14"/>
      <c r="BQ92" s="10" t="str">
        <f t="shared" si="9"/>
        <v>Produção</v>
      </c>
      <c r="BR92" s="15">
        <f t="shared" si="10"/>
        <v>0.99999999999999978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>
        <v>2</v>
      </c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2</v>
      </c>
      <c r="BI94" s="14"/>
      <c r="BJ94" s="14" t="s">
        <v>1409</v>
      </c>
      <c r="BK94" s="14" t="s">
        <v>1410</v>
      </c>
      <c r="BL94" s="13"/>
      <c r="BM94" s="12"/>
      <c r="BN94" s="12"/>
      <c r="BO94" s="130"/>
      <c r="BP94" s="14"/>
      <c r="BQ94" s="10" t="str">
        <f t="shared" si="9"/>
        <v>Aderente</v>
      </c>
      <c r="BR94" s="15">
        <f t="shared" si="10"/>
        <v>1</v>
      </c>
      <c r="BS94" s="15">
        <f t="shared" si="11"/>
        <v>2</v>
      </c>
      <c r="BT94" s="157" t="str">
        <f t="shared" si="7"/>
        <v/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444</v>
      </c>
      <c r="I96" s="135" t="s">
        <v>444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964</v>
      </c>
      <c r="Y96" s="129" t="s">
        <v>963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>
        <v>0.46944444444444444</v>
      </c>
      <c r="AT96" s="32">
        <v>0.63611111111111107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0.16666666666666663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>
        <v>1</v>
      </c>
      <c r="BI96" s="14"/>
      <c r="BJ96" s="14" t="s">
        <v>1411</v>
      </c>
      <c r="BK96" s="14" t="s">
        <v>1411</v>
      </c>
      <c r="BL96" s="13"/>
      <c r="BM96" s="12"/>
      <c r="BN96" s="12"/>
      <c r="BO96" s="130"/>
      <c r="BP96" s="14"/>
      <c r="BQ96" s="10" t="str">
        <f t="shared" si="9"/>
        <v>Produção</v>
      </c>
      <c r="BR96" s="15">
        <f t="shared" si="10"/>
        <v>0.99999999999999978</v>
      </c>
      <c r="BS96" s="15">
        <f t="shared" si="11"/>
        <v>0</v>
      </c>
      <c r="BT96" s="157" t="str">
        <f t="shared" si="7"/>
        <v/>
      </c>
    </row>
    <row r="97" spans="1:72" ht="23.2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438</v>
      </c>
      <c r="I97" s="135" t="s">
        <v>438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969</v>
      </c>
      <c r="Y97" s="129" t="s">
        <v>972</v>
      </c>
      <c r="Z97" s="129"/>
      <c r="AA97" s="71">
        <v>1</v>
      </c>
      <c r="AB97" s="59" t="s">
        <v>961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>
        <v>1</v>
      </c>
      <c r="BI97" s="14"/>
      <c r="BJ97" s="14" t="s">
        <v>1412</v>
      </c>
      <c r="BK97" s="14" t="s">
        <v>1412</v>
      </c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418</v>
      </c>
      <c r="I98" s="135" t="s">
        <v>418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1413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1414</v>
      </c>
      <c r="W98" s="135" t="s">
        <v>1415</v>
      </c>
      <c r="X98" s="152" t="s">
        <v>969</v>
      </c>
      <c r="Y98" s="129" t="s">
        <v>972</v>
      </c>
      <c r="Z98" s="129"/>
      <c r="AA98" s="71">
        <v>2</v>
      </c>
      <c r="AB98" s="59" t="s">
        <v>966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>
        <v>0.47847222222222224</v>
      </c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1416</v>
      </c>
      <c r="BK98" s="14" t="s">
        <v>1416</v>
      </c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396</v>
      </c>
      <c r="I99" s="135" t="s">
        <v>442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1417</v>
      </c>
      <c r="W99" s="135" t="s">
        <v>1418</v>
      </c>
      <c r="X99" s="152" t="s">
        <v>969</v>
      </c>
      <c r="Y99" s="129" t="s">
        <v>972</v>
      </c>
      <c r="Z99" s="129"/>
      <c r="AA99" s="71">
        <v>1</v>
      </c>
      <c r="AB99" s="59" t="s">
        <v>961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>
        <v>0.43541666666666667</v>
      </c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1419</v>
      </c>
      <c r="BK99" s="14" t="s">
        <v>1419</v>
      </c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647</v>
      </c>
      <c r="I102" s="135" t="s">
        <v>647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969</v>
      </c>
      <c r="Y102" s="129" t="s">
        <v>972</v>
      </c>
      <c r="Z102" s="129"/>
      <c r="AA102" s="71">
        <v>1</v>
      </c>
      <c r="AB102" s="59" t="s">
        <v>961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>
        <v>0.41805555555555557</v>
      </c>
      <c r="AT102" s="32">
        <v>0.54305555555555551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0.12499999999999994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>
        <v>1</v>
      </c>
      <c r="BI102" s="14"/>
      <c r="BJ102" s="14" t="s">
        <v>1420</v>
      </c>
      <c r="BK102" s="14" t="s">
        <v>1420</v>
      </c>
      <c r="BL102" s="13"/>
      <c r="BM102" s="12"/>
      <c r="BN102" s="12"/>
      <c r="BO102" s="130"/>
      <c r="BP102" s="14"/>
      <c r="BQ102" s="10" t="str">
        <f t="shared" si="9"/>
        <v>Produção</v>
      </c>
      <c r="BR102" s="15">
        <f t="shared" si="10"/>
        <v>0.99999999999999956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>V8646088</v>
      </c>
      <c r="B107" s="133">
        <v>46088</v>
      </c>
      <c r="C107" s="7">
        <f>IF(BS_CONTROLE[[#This Row],[DATA]]="","",WEEKNUM(BS_CONTROLE[[#This Row],[DATA]]))</f>
        <v>10</v>
      </c>
      <c r="D107" s="45" t="s">
        <v>217</v>
      </c>
      <c r="E107" s="185">
        <v>79</v>
      </c>
      <c r="F107" s="134" t="s">
        <v>116</v>
      </c>
      <c r="G107" s="8" t="str">
        <f>IF(D107="","*",VLOOKUP(F107,BS_ATIVIDADE[#All],3,FALSE))</f>
        <v>MECANIZAÇÃO - SOCADORA</v>
      </c>
      <c r="H107" s="135" t="s">
        <v>567</v>
      </c>
      <c r="I107" s="135" t="s">
        <v>567</v>
      </c>
      <c r="J107" s="151">
        <v>98</v>
      </c>
      <c r="K107" s="151">
        <v>664</v>
      </c>
      <c r="L107" s="71">
        <v>667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7" s="135">
        <v>0.27777777777777779</v>
      </c>
      <c r="P107" s="135">
        <v>0.125</v>
      </c>
      <c r="Q107" s="71">
        <v>1680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199" t="str">
        <f>IFERROR(_xlfn.XLOOKUP(J107, BASE_MAPA!$B$2:$B$408, BASE_MAPA!$G$2:$G$408), "ERRO")</f>
        <v>ALTO ARAGUAIA - RONDONOPOLIS</v>
      </c>
      <c r="V107" s="143" t="s">
        <v>1304</v>
      </c>
      <c r="W107" s="135" t="s">
        <v>1342</v>
      </c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MECANIZAÇÃO - SOCADORA</v>
      </c>
      <c r="AJ107" s="8" t="str">
        <f>IF(D107="","*",VLOOKUP(AI107,BS_ATIVIDADE[#Data],3,FALSE))</f>
        <v>MECANIZAÇÃO - SOCADORA</v>
      </c>
      <c r="AK107" s="175" t="str">
        <f>IF(BS_CONTROLE[[#This Row],[Local - Partida]]=0, "-", BS_CONTROLE[[#This Row],[Local - Partida]])</f>
        <v>TIQ2</v>
      </c>
      <c r="AL107" s="175" t="str">
        <f>IF(BS_CONTROLE[[#This Row],[Local - Encerramento]]=0, "-", BS_CONTROLE[[#This Row],[Local - Encerramento]])</f>
        <v>TIQ2</v>
      </c>
      <c r="AM107" s="175" t="str">
        <f>IF(BS_CONTROLE[[#This Row],[Entre - Estações]]=0, "-", BS_CONTROLE[[#This Row],[Entre - Estações]])</f>
        <v>TBS-TAL</v>
      </c>
      <c r="AN107" s="175" t="str">
        <f>IF(BS_CONTROLE[[#This Row],[SB]]=0, "-", BS_CONTROLE[[#This Row],[SB]])</f>
        <v>TBS671</v>
      </c>
      <c r="AO107" s="176">
        <f>IF(BS_CONTROLE[[#This Row],[SUB]]=0, "-", BS_CONTROLE[[#This Row],[SUB]])</f>
        <v>98</v>
      </c>
      <c r="AP107" s="177">
        <f>IF(BS_CONTROLE[[#This Row],[KM - Inicio]]=0, "-", BS_CONTROLE[[#This Row],[KM - Inicio]])</f>
        <v>664</v>
      </c>
      <c r="AQ107" s="177">
        <f>IF(BS_CONTROLE[[#This Row],[KM - Fim]]=0, "-", BS_CONTROLE[[#This Row],[KM - Fim]])</f>
        <v>667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200" t="str">
        <f>IFERROR(_xlfn.XLOOKUP(AO107, BASE_MAPA!$B$2:$B$408, BASE_MAPA!$G$2:$G$408), "ERRO")</f>
        <v>ALTO ARAGUAIA - RONDONOPOLIS</v>
      </c>
      <c r="BF107" s="178" t="str">
        <f>IF(BS_CONTROLE[[#This Row],[Responsavel pelo boletim]]=0, "-", BS_CONTROLE[[#This Row],[Responsavel pelo boletim]])</f>
        <v>Camila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>V7746088</v>
      </c>
      <c r="B109" s="133">
        <v>46088</v>
      </c>
      <c r="C109" s="7">
        <f>IF(BS_CONTROLE[[#This Row],[DATA]]="","",WEEKNUM(BS_CONTROLE[[#This Row],[DATA]]))</f>
        <v>10</v>
      </c>
      <c r="D109" s="45" t="s">
        <v>207</v>
      </c>
      <c r="E109" s="185">
        <v>102</v>
      </c>
      <c r="F109" s="134" t="s">
        <v>32</v>
      </c>
      <c r="G109" s="8" t="str">
        <f>IF(D109="","*",VLOOKUP(F109,BS_ATIVIDADE[#All],3,FALSE))</f>
        <v>DETECÇÃO</v>
      </c>
      <c r="H109" s="135" t="s">
        <v>565</v>
      </c>
      <c r="I109" s="135" t="s">
        <v>530</v>
      </c>
      <c r="J109" s="151">
        <v>98</v>
      </c>
      <c r="K109" s="151">
        <v>616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9" s="135">
        <v>0.29166666666666669</v>
      </c>
      <c r="P109" s="135"/>
      <c r="Q109" s="71"/>
      <c r="R109" s="9" t="str">
        <f>IFERROR(_xlfn.XLOOKUP(F109, BS_ATIVIDADE[ATIVIDADE],BS_ATIVIDADE[UNIDADE] ), "*")</f>
        <v>KM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9" s="199" t="str">
        <f>IFERROR(_xlfn.XLOOKUP(J109, BASE_MAPA!$B$2:$B$408, BASE_MAPA!$G$2:$G$408), "ERRO")</f>
        <v>ALTO ARAGUAIA - RONDONOPOLIS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DETECÇÃO - RONDA 7 DIAS</v>
      </c>
      <c r="AJ109" s="8" t="str">
        <f>IF(D109="","*",VLOOKUP(AI109,BS_ATIVIDADE[#Data],3,FALSE))</f>
        <v>DETECÇÃO</v>
      </c>
      <c r="AK109" s="175" t="str">
        <f>IF(BS_CONTROLE[[#This Row],[Local - Partida]]=0, "-", BS_CONTROLE[[#This Row],[Local - Partida]])</f>
        <v>TIQ</v>
      </c>
      <c r="AL109" s="175" t="str">
        <f>IF(BS_CONTROLE[[#This Row],[Local - Encerramento]]=0, "-", BS_CONTROLE[[#This Row],[Local - Encerramento]])</f>
        <v>TGR2</v>
      </c>
      <c r="AM109" s="175" t="str">
        <f>IF(BS_CONTROLE[[#This Row],[Entre - Estações]]=0, "-", BS_CONTROLE[[#This Row],[Entre - Estações]])</f>
        <v>TIQ</v>
      </c>
      <c r="AN109" s="175" t="str">
        <f>IF(BS_CONTROLE[[#This Row],[SB]]=0, "-", BS_CONTROLE[[#This Row],[SB]])</f>
        <v>TIQ1</v>
      </c>
      <c r="AO109" s="176">
        <f>IF(BS_CONTROLE[[#This Row],[SUB]]=0, "-", BS_CONTROLE[[#This Row],[SUB]])</f>
        <v>98</v>
      </c>
      <c r="AP109" s="177">
        <f>IF(BS_CONTROLE[[#This Row],[KM - Inicio]]=0, "-", BS_CONTROLE[[#This Row],[KM - Inicio]])</f>
        <v>616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KM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9" s="200" t="str">
        <f>IFERROR(_xlfn.XLOOKUP(AO109, BASE_MAPA!$B$2:$B$408, BASE_MAPA!$G$2:$G$408), "ERRO")</f>
        <v>ALTO ARAGUAIA - RONDONOPOLIS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e">
        <f t="shared" si="9"/>
        <v>#DIV/0!</v>
      </c>
      <c r="BR109" s="15" t="e">
        <f t="shared" si="10"/>
        <v>#DIV/0!</v>
      </c>
      <c r="BS109" s="15" t="e">
        <f t="shared" si="11"/>
        <v>#DIV/0!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ELSON (TF-526)46088</v>
      </c>
      <c r="B112" s="133">
        <v>46088</v>
      </c>
      <c r="C112" s="7">
        <f>IF(BS_CONTROLE[[#This Row],[DATA]]="","",WEEKNUM(BS_CONTROLE[[#This Row],[DATA]]))</f>
        <v>10</v>
      </c>
      <c r="D112" s="45" t="s">
        <v>303</v>
      </c>
      <c r="E112" s="185"/>
      <c r="F112" s="134" t="s">
        <v>193</v>
      </c>
      <c r="G112" s="8" t="str">
        <f>IF(D112="","*",VLOOKUP(F112,BS_ATIVIDADE[#All],3,FALSE))</f>
        <v>SOLDA</v>
      </c>
      <c r="H112" s="149" t="s">
        <v>505</v>
      </c>
      <c r="I112" s="135" t="s">
        <v>11</v>
      </c>
      <c r="J112" s="151">
        <v>74</v>
      </c>
      <c r="K112" s="151">
        <v>403.505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12" s="149" t="s">
        <v>505</v>
      </c>
      <c r="O112" s="135">
        <v>0.375</v>
      </c>
      <c r="P112" s="135">
        <v>8.3333333333333329E-2</v>
      </c>
      <c r="Q112" s="71">
        <v>1</v>
      </c>
      <c r="R112" s="9" t="str">
        <f>IFERROR(_xlfn.XLOOKUP(F112, BS_ATIVIDADE[ATIVIDADE],BS_ATIVIDADE[UNIDADE] ), "*")</f>
        <v>Nº DE SOLDA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SOLDA</v>
      </c>
      <c r="AJ112" s="8" t="str">
        <f>IF(D112="","*",VLOOKUP(AI112,BS_ATIVIDADE[#Data],3,FALSE))</f>
        <v>SOLDA</v>
      </c>
      <c r="AK112" s="175" t="str">
        <f>IF(BS_CONTROLE[[#This Row],[Local - Partida]]=0, "-", BS_CONTROLE[[#This Row],[Local - Partida]])</f>
        <v>TOM2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TOM</v>
      </c>
      <c r="AN112" s="175" t="str">
        <f>IF(BS_CONTROLE[[#This Row],[SB]]=0, "-", BS_CONTROLE[[#This Row],[SB]])</f>
        <v>TOM2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403.505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Nº DE SOLDA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1421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12" operator="equal">
      <formula>"ERRO"</formula>
    </cfRule>
  </conditionalFormatting>
  <conditionalFormatting sqref="X4 Y1:Z802">
    <cfRule type="cellIs" dxfId="120" priority="18501" operator="equal">
      <formula>"OPORTUNIDADE"</formula>
    </cfRule>
  </conditionalFormatting>
  <conditionalFormatting sqref="AZ6:AZ802">
    <cfRule type="expression" dxfId="119" priority="18496">
      <formula>$BU6=1</formula>
    </cfRule>
  </conditionalFormatting>
  <conditionalFormatting sqref="BQ6:BQ802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802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802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65:Y1048576">
    <cfRule type="cellIs" dxfId="108" priority="18318" operator="equal">
      <formula>"OPORTUNIDADE"</formula>
    </cfRule>
  </conditionalFormatting>
  <conditionalFormatting sqref="Y1047865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2 BK75 BK63:BK64 BK66:BK73 BK87 BK89:BK90 BK84 BK93 BK95 BK100:BK101 BK103:BK802">
    <cfRule type="iconSet" priority="217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13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16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18">
      <iconSet showValue="0">
        <cfvo type="percent" val="0"/>
        <cfvo type="num" val="1"/>
        <cfvo type="num" val="1" gte="0"/>
      </iconSet>
    </cfRule>
    <cfRule type="iconSet" priority="22019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1422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1423</v>
      </c>
      <c r="E3" s="186" t="s">
        <v>1424</v>
      </c>
      <c r="F3" s="186" t="s">
        <v>1425</v>
      </c>
      <c r="G3" s="186" t="s">
        <v>1426</v>
      </c>
      <c r="H3" s="186" t="s">
        <v>1427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1429</v>
      </c>
      <c r="D13" s="187">
        <v>9049</v>
      </c>
      <c r="E13" s="188">
        <v>46044</v>
      </c>
      <c r="F13" s="190" t="s">
        <v>1430</v>
      </c>
      <c r="G13" s="187" t="s">
        <v>1431</v>
      </c>
      <c r="H13" s="187"/>
    </row>
    <row r="14" spans="3:8">
      <c r="C14" s="187" t="s">
        <v>1429</v>
      </c>
      <c r="D14" s="187">
        <v>9044</v>
      </c>
      <c r="E14" s="188">
        <v>46044</v>
      </c>
      <c r="F14" s="190" t="s">
        <v>1432</v>
      </c>
      <c r="G14" s="187" t="s">
        <v>1433</v>
      </c>
      <c r="H14" s="187"/>
    </row>
    <row r="15" spans="3:8">
      <c r="C15" s="187" t="s">
        <v>733</v>
      </c>
      <c r="D15" s="187">
        <v>9423</v>
      </c>
      <c r="E15" s="188">
        <v>46062</v>
      </c>
      <c r="F15" s="190" t="s">
        <v>1434</v>
      </c>
      <c r="G15" s="187"/>
      <c r="H15" s="187"/>
    </row>
    <row r="16" spans="3:8">
      <c r="C16" s="187" t="s">
        <v>733</v>
      </c>
      <c r="D16" s="187">
        <v>9372</v>
      </c>
      <c r="E16" s="188">
        <v>46062</v>
      </c>
      <c r="F16" s="190" t="s">
        <v>1434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1435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1436</v>
      </c>
      <c r="C4" s="191" t="s">
        <v>1437</v>
      </c>
      <c r="D4" s="191" t="s">
        <v>1438</v>
      </c>
      <c r="E4" s="191" t="s">
        <v>1439</v>
      </c>
      <c r="F4" s="191" t="s">
        <v>368</v>
      </c>
      <c r="G4" s="191" t="s">
        <v>1440</v>
      </c>
    </row>
    <row r="5" spans="2:7">
      <c r="B5" s="192" t="s">
        <v>1441</v>
      </c>
      <c r="C5" s="192">
        <v>309525</v>
      </c>
      <c r="D5" s="192" t="s">
        <v>1442</v>
      </c>
      <c r="E5" s="192" t="s">
        <v>249</v>
      </c>
      <c r="F5" s="192" t="s">
        <v>1443</v>
      </c>
      <c r="G5" s="193">
        <v>46296</v>
      </c>
    </row>
    <row r="6" spans="2:7">
      <c r="B6" s="192" t="s">
        <v>1444</v>
      </c>
      <c r="C6" s="192">
        <v>257410</v>
      </c>
      <c r="D6" s="192" t="s">
        <v>1445</v>
      </c>
      <c r="E6" s="192" t="s">
        <v>249</v>
      </c>
      <c r="F6" s="192" t="s">
        <v>1443</v>
      </c>
      <c r="G6" s="193"/>
    </row>
    <row r="7" spans="2:7">
      <c r="B7" s="192" t="s">
        <v>1259</v>
      </c>
      <c r="C7" s="192">
        <v>256875</v>
      </c>
      <c r="D7" s="192" t="s">
        <v>1446</v>
      </c>
      <c r="E7" s="192" t="s">
        <v>249</v>
      </c>
      <c r="F7" s="192" t="s">
        <v>1443</v>
      </c>
      <c r="G7" s="193">
        <v>46296</v>
      </c>
    </row>
    <row r="8" spans="2:7">
      <c r="B8" s="192" t="s">
        <v>1447</v>
      </c>
      <c r="C8" s="192">
        <v>257278</v>
      </c>
      <c r="D8" s="192" t="s">
        <v>1448</v>
      </c>
      <c r="E8" s="192" t="s">
        <v>240</v>
      </c>
      <c r="F8" s="192" t="s">
        <v>1449</v>
      </c>
      <c r="G8" s="193">
        <v>46235</v>
      </c>
    </row>
    <row r="9" spans="2:7">
      <c r="B9" s="192" t="s">
        <v>1450</v>
      </c>
      <c r="C9" s="192">
        <v>257033</v>
      </c>
      <c r="D9" s="192" t="s">
        <v>1451</v>
      </c>
      <c r="E9" s="192" t="s">
        <v>240</v>
      </c>
      <c r="F9" s="192" t="s">
        <v>385</v>
      </c>
      <c r="G9" s="192" t="s">
        <v>1452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1453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1454</v>
      </c>
      <c r="B2" s="91" t="s">
        <v>1455</v>
      </c>
      <c r="C2" s="91" t="s">
        <v>7</v>
      </c>
      <c r="D2" s="92" t="s">
        <v>1175</v>
      </c>
      <c r="E2" s="92" t="s">
        <v>368</v>
      </c>
      <c r="F2" s="92" t="s">
        <v>1456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1457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TGR-TRO</v>
      </c>
      <c r="F106" s="96">
        <f>IF(FN_MC!B107="","*",FN_MC!B107)</f>
        <v>46088</v>
      </c>
      <c r="G106" s="96" t="str">
        <f>IF(FN_MC!D107="","*",FN_MC!D107)</f>
        <v>V86</v>
      </c>
      <c r="H106" s="96" t="str">
        <f>IF(FN_MC!F107="","*",FN_MC!F107)</f>
        <v>MECANIZAÇÃO - SOCADORA</v>
      </c>
      <c r="I106" s="96" t="str">
        <f>IF(FN_MC!H107="","*",FN_MC!H107)</f>
        <v>TIQ2</v>
      </c>
      <c r="J106" s="96" t="str">
        <f>IF(FN_MC!I107="","*",FN_MC!I107)</f>
        <v>TIQ2</v>
      </c>
      <c r="K106" s="96" t="str">
        <f>IF(FN_MC!M107="","*",FN_MC!M107)</f>
        <v>TBS-TAL</v>
      </c>
      <c r="L106" s="196" t="str">
        <f>IF(FN_MC!N107="","*",FN_MC!N107)</f>
        <v>TBS671</v>
      </c>
      <c r="M106" s="97">
        <f>IF(FN_MC!J107="","*",FN_MC!J107)</f>
        <v>98</v>
      </c>
      <c r="N106" s="183">
        <f>IF(FN_MC!K107="","*",FN_MC!K107)</f>
        <v>664</v>
      </c>
      <c r="O106" s="183">
        <f>IF(FN_MC!L107="","*",FN_MC!L107)</f>
        <v>667</v>
      </c>
      <c r="P106" s="107">
        <f>IF(FN_MC!O107="","*",FN_MC!O107)</f>
        <v>0.27777777777777779</v>
      </c>
      <c r="Q106" s="107">
        <f>IF(FN_MC!P107="","*",FN_MC!P107)</f>
        <v>0.125</v>
      </c>
      <c r="R106" s="96" t="str">
        <f>IF(FN_MC!Q107="","*",CONCATENATE(FN_MC!Q107," ",FN_MC!R107))</f>
        <v>1680 M</v>
      </c>
      <c r="S106" s="96" t="str">
        <f>IF(FN_MC!V107="","*",FN_MC!V107)</f>
        <v>Camila</v>
      </c>
      <c r="T106" s="96" t="str">
        <f>IF(FN_MC!W107="","*",FN_MC!W107)</f>
        <v>socaria mecanizada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TGR-TRO</v>
      </c>
      <c r="F108" s="96">
        <f>IF(FN_MC!B109="","*",FN_MC!B109)</f>
        <v>46088</v>
      </c>
      <c r="G108" s="96" t="str">
        <f>IF(FN_MC!D109="","*",FN_MC!D109)</f>
        <v>V77</v>
      </c>
      <c r="H108" s="96" t="str">
        <f>IF(FN_MC!F109="","*",FN_MC!F109)</f>
        <v>DETECÇÃO - RONDA 7 DIAS</v>
      </c>
      <c r="I108" s="96" t="str">
        <f>IF(FN_MC!H109="","*",FN_MC!H109)</f>
        <v>TIQ</v>
      </c>
      <c r="J108" s="96" t="str">
        <f>IF(FN_MC!I109="","*",FN_MC!I109)</f>
        <v>TGR2</v>
      </c>
      <c r="K108" s="96" t="str">
        <f>IF(FN_MC!M109="","*",FN_MC!M109)</f>
        <v>TIQ</v>
      </c>
      <c r="L108" s="196" t="str">
        <f>IF(FN_MC!N109="","*",FN_MC!N109)</f>
        <v>TIQ1</v>
      </c>
      <c r="M108" s="97">
        <f>IF(FN_MC!J109="","*",FN_MC!J109)</f>
        <v>98</v>
      </c>
      <c r="N108" s="183">
        <f>IF(FN_MC!K109="","*",FN_MC!K109)</f>
        <v>616</v>
      </c>
      <c r="O108" s="183" t="str">
        <f>IF(FN_MC!L109="","*",FN_MC!L109)</f>
        <v>-</v>
      </c>
      <c r="P108" s="107">
        <f>IF(FN_MC!O109="","*",FN_MC!O109)</f>
        <v>0.29166666666666669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FERRONORTE</v>
      </c>
      <c r="E111" s="96" t="str">
        <f>IF(FN_MC!T112="","*",FN_MC!T112)</f>
        <v>TCS-TGR</v>
      </c>
      <c r="F111" s="96">
        <f>IF(FN_MC!B112="","*",FN_MC!B112)</f>
        <v>46088</v>
      </c>
      <c r="G111" s="96" t="str">
        <f>IF(FN_MC!D112="","*",FN_MC!D112)</f>
        <v>ELSON (TF-526)</v>
      </c>
      <c r="H111" s="96" t="str">
        <f>IF(FN_MC!F112="","*",FN_MC!F112)</f>
        <v>PDM - SOLDA</v>
      </c>
      <c r="I111" s="96" t="str">
        <f>IF(FN_MC!H112="","*",FN_MC!H112)</f>
        <v>TOM2</v>
      </c>
      <c r="J111" s="96" t="str">
        <f>IF(FN_MC!I112="","*",FN_MC!I112)</f>
        <v>-</v>
      </c>
      <c r="K111" s="96" t="str">
        <f>IF(FN_MC!M112="","*",FN_MC!M112)</f>
        <v>TOM</v>
      </c>
      <c r="L111" s="196" t="str">
        <f>IF(FN_MC!N112="","*",FN_MC!N112)</f>
        <v>TOM2</v>
      </c>
      <c r="M111" s="97">
        <f>IF(FN_MC!J112="","*",FN_MC!J112)</f>
        <v>74</v>
      </c>
      <c r="N111" s="183">
        <f>IF(FN_MC!K112="","*",FN_MC!K112)</f>
        <v>403.505</v>
      </c>
      <c r="O111" s="183" t="str">
        <f>IF(FN_MC!L112="","*",FN_MC!L112)</f>
        <v>-</v>
      </c>
      <c r="P111" s="107">
        <f>IF(FN_MC!O112="","*",FN_MC!O112)</f>
        <v>0.375</v>
      </c>
      <c r="Q111" s="107">
        <f>IF(FN_MC!P112="","*",FN_MC!P112)</f>
        <v>8.3333333333333329E-2</v>
      </c>
      <c r="R111" s="96" t="str">
        <f>IF(FN_MC!Q112="","*",CONCATENATE(FN_MC!Q112," ",FN_MC!R112))</f>
        <v>1 Nº DE SOLDA</v>
      </c>
      <c r="S111" s="96" t="str">
        <f>IF(FN_MC!V112="","*",FN_MC!V112)</f>
        <v>*</v>
      </c>
      <c r="T111" s="96" t="str">
        <f>IF(FN_MC!W112="","*",FN_MC!W112)</f>
        <v>*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1458</v>
      </c>
      <c r="D5" s="242"/>
      <c r="E5" s="242"/>
      <c r="F5" s="242"/>
      <c r="G5" s="242"/>
      <c r="H5" s="242"/>
      <c r="I5" s="242"/>
      <c r="J5" s="243"/>
      <c r="K5" s="244" t="s">
        <v>1459</v>
      </c>
      <c r="L5" s="245"/>
      <c r="M5" s="245"/>
      <c r="N5" s="245"/>
      <c r="O5" s="246" t="s">
        <v>1460</v>
      </c>
      <c r="P5" s="247"/>
      <c r="Q5" s="248"/>
    </row>
    <row r="6" spans="1:17" s="81" customFormat="1" ht="15.75" customHeight="1">
      <c r="A6" s="75" t="s">
        <v>1456</v>
      </c>
      <c r="B6" s="82" t="s">
        <v>1455</v>
      </c>
      <c r="C6" s="83" t="s">
        <v>1175</v>
      </c>
      <c r="D6" s="84" t="s">
        <v>1176</v>
      </c>
      <c r="E6" s="83" t="s">
        <v>1461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1462</v>
      </c>
      <c r="M6" s="116" t="s">
        <v>29</v>
      </c>
      <c r="N6" s="117" t="s">
        <v>1170</v>
      </c>
      <c r="O6" s="165" t="s">
        <v>1213</v>
      </c>
      <c r="P6" s="128"/>
      <c r="Q6" s="139" t="s">
        <v>1463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MC1 as 07:30h - Em inspeção as 08:32h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1</v>
      </c>
      <c r="P85" s="78"/>
      <c r="Q85" s="120" t="str">
        <f>IF($A$2=1,IF(FN_MC!#REF!="","*",FN_MC!#REF!),IF(FN_MC!BK85="","*",FN_MC!BK85))</f>
        <v>MC1 as 06:30h - em deslocamento para o local de trabalho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Pronto as 09:30h - CCO verificando faixa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1</v>
      </c>
      <c r="P91" s="78"/>
      <c r="Q91" s="120" t="str">
        <f>IF($A$2=1,IF(FN_MC!BJ91="","*",FN_MC!BJ91),IF(FN_MC!BK91="","*",FN_MC!BK91))</f>
        <v>Equipe pronta 08:31 - Em intervalo das 09:43h as 11:43h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1</v>
      </c>
      <c r="P92" s="78"/>
      <c r="Q92" s="120" t="str">
        <f>IF($A$2=1,IF(FN_MC!BJ92="","*",FN_MC!BJ92),IF(FN_MC!BK92="","*",FN_MC!BK92))</f>
        <v>Equipe pronta 08:31 - Em intervalo das 09:43h as 11:43h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2</v>
      </c>
      <c r="P94" s="78"/>
      <c r="Q94" s="120" t="str">
        <f>IF($A$2=1,IF(FN_MC!BJ94="","*",FN_MC!BJ94),IF(FN_MC!BK94="","*",FN_MC!BK94))</f>
        <v>Pronto as 07:50 - Em intervalo das 08:50h as 10:20h - 2 soldas e 17m de trilho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1</v>
      </c>
      <c r="P95" s="78"/>
      <c r="Q95" s="120" t="str">
        <f>IF($A$2=1,IF(FN_MC!BJ96="","*",FN_MC!BJ96),IF(FN_MC!BK96="","*",FN_MC!BK96))</f>
        <v>MC1 08:44 - Em intervalo das 11:16h as 15:16h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1</v>
      </c>
      <c r="P96" s="78"/>
      <c r="Q96" s="120" t="str">
        <f>IF($A$2=1,IF(FN_MC!BJ97="","*",FN_MC!BJ97),IF(FN_MC!BK97="","*",FN_MC!BK97))</f>
        <v>Previsão de MC1 as 09:18h, em deslocamento para local de trabalho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MC1 11:29h, manobrando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MC1 10:27h - previsão de licenca as 14h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1</v>
      </c>
      <c r="P101" s="78"/>
      <c r="Q101" s="120" t="str">
        <f>IF($A$2=1,IF(FN_MC!BJ102="","*",FN_MC!BJ102),IF(FN_MC!BK102="","*",FN_MC!BK102))</f>
        <v>MC1 as 08:10 - Em intervalo das 10:02h as 13:02h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>
        <f>IF(FN_MC!B107="","*",FN_MC!B107)</f>
        <v>46088</v>
      </c>
      <c r="B106" s="86" t="str">
        <f>IF(FN_MC!X107="","*",FN_MC!X107)</f>
        <v>*</v>
      </c>
      <c r="C106" s="87" t="str">
        <f>IF(FN_MC!S107="","*",FN_MC!S107)</f>
        <v>FERRONORTE</v>
      </c>
      <c r="D106" s="87" t="str">
        <f>IF(FN_MC!T107="","*",FN_MC!T107)</f>
        <v>TGR-TRO</v>
      </c>
      <c r="E106" s="87" t="str">
        <f>IF(FN_MC!D107="","*",FN_MC!D107)</f>
        <v>V86</v>
      </c>
      <c r="F106" s="87" t="str">
        <f>IF(FN_MC!H107="","*",FN_MC!H107)</f>
        <v>TIQ2</v>
      </c>
      <c r="G106" s="87" t="str">
        <f>IF(FN_MC!M107="","*",FN_MC!M107)</f>
        <v>TBS-TAL</v>
      </c>
      <c r="H106" s="125">
        <f>IF(FN_MC!K107="","*",FN_MC!K107)</f>
        <v>664</v>
      </c>
      <c r="I106" s="110">
        <f>IF(FN_MC!O107="","*",FN_MC!O107)</f>
        <v>0.27777777777777779</v>
      </c>
      <c r="J106" s="110">
        <f>IF(FN_MC!P107="","*",FN_MC!P107)</f>
        <v>0.125</v>
      </c>
      <c r="K106" s="118" t="str">
        <f>IF(FN_MC!AK107="","*",FN_MC!AK107)</f>
        <v>TIQ2</v>
      </c>
      <c r="L106" s="118" t="str">
        <f>IF(FN_MC!AM107="","*",FN_MC!AM107)</f>
        <v>TBS-TAL</v>
      </c>
      <c r="M106" s="118">
        <f>IF(FN_MC!AP107="","*",FN_MC!AP107)</f>
        <v>664</v>
      </c>
      <c r="N106" s="118" t="str">
        <f>IF(FN_MC!AM107="","*",FN_MC!AM107)</f>
        <v>TBS-TAL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>
        <f>IF(FN_MC!B109="","*",FN_MC!B109)</f>
        <v>46088</v>
      </c>
      <c r="B108" s="86" t="str">
        <f>IF(FN_MC!X109="","*",FN_MC!X109)</f>
        <v>*</v>
      </c>
      <c r="C108" s="87" t="str">
        <f>IF(FN_MC!S109="","*",FN_MC!S109)</f>
        <v>FERRONORTE</v>
      </c>
      <c r="D108" s="87" t="str">
        <f>IF(FN_MC!T109="","*",FN_MC!T109)</f>
        <v>TGR-TRO</v>
      </c>
      <c r="E108" s="87" t="str">
        <f>IF(FN_MC!D109="","*",FN_MC!D109)</f>
        <v>V77</v>
      </c>
      <c r="F108" s="87" t="str">
        <f>IF(FN_MC!H109="","*",FN_MC!H109)</f>
        <v>TIQ</v>
      </c>
      <c r="G108" s="87" t="str">
        <f>IF(FN_MC!M109="","*",FN_MC!M109)</f>
        <v>TIQ</v>
      </c>
      <c r="H108" s="125">
        <f>IF(FN_MC!K109="","*",FN_MC!K109)</f>
        <v>616</v>
      </c>
      <c r="I108" s="110">
        <f>IF(FN_MC!O109="","*",FN_MC!O109)</f>
        <v>0.29166666666666669</v>
      </c>
      <c r="J108" s="110" t="str">
        <f>IF(FN_MC!P109="","*",FN_MC!P109)</f>
        <v>*</v>
      </c>
      <c r="K108" s="118" t="str">
        <f>IF(FN_MC!AK109="","*",FN_MC!AK109)</f>
        <v>TIQ</v>
      </c>
      <c r="L108" s="118" t="str">
        <f>IF(FN_MC!AM109="","*",FN_MC!AM109)</f>
        <v>TIQ</v>
      </c>
      <c r="M108" s="118">
        <f>IF(FN_MC!AP109="","*",FN_MC!AP109)</f>
        <v>616</v>
      </c>
      <c r="N108" s="118" t="str">
        <f>IF(FN_MC!AM109="","*",FN_MC!AM109)</f>
        <v>TIQ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>
        <f>IF(FN_MC!B112="","*",FN_MC!B112)</f>
        <v>46088</v>
      </c>
      <c r="B111" s="86" t="str">
        <f>IF(FN_MC!X112="","*",FN_MC!X112)</f>
        <v>*</v>
      </c>
      <c r="C111" s="87" t="str">
        <f>IF(FN_MC!S112="","*",FN_MC!S112)</f>
        <v>FERRONORTE</v>
      </c>
      <c r="D111" s="87" t="str">
        <f>IF(FN_MC!T112="","*",FN_MC!T112)</f>
        <v>TCS-TGR</v>
      </c>
      <c r="E111" s="87" t="str">
        <f>IF(FN_MC!D112="","*",FN_MC!D112)</f>
        <v>ELSON (TF-526)</v>
      </c>
      <c r="F111" s="87" t="str">
        <f>IF(FN_MC!H112="","*",FN_MC!H112)</f>
        <v>TOM2</v>
      </c>
      <c r="G111" s="87" t="str">
        <f>IF(FN_MC!M112="","*",FN_MC!M112)</f>
        <v>TOM</v>
      </c>
      <c r="H111" s="125">
        <f>IF(FN_MC!K112="","*",FN_MC!K112)</f>
        <v>403.505</v>
      </c>
      <c r="I111" s="110">
        <f>IF(FN_MC!O112="","*",FN_MC!O112)</f>
        <v>0.375</v>
      </c>
      <c r="J111" s="110">
        <f>IF(FN_MC!P112="","*",FN_MC!P112)</f>
        <v>8.3333333333333329E-2</v>
      </c>
      <c r="K111" s="118" t="str">
        <f>IF(FN_MC!AK112="","*",FN_MC!AK112)</f>
        <v>TOM2</v>
      </c>
      <c r="L111" s="118" t="str">
        <f>IF(FN_MC!AM112="","*",FN_MC!AM112)</f>
        <v>TOM</v>
      </c>
      <c r="M111" s="118">
        <f>IF(FN_MC!AP112="","*",FN_MC!AP112)</f>
        <v>403.505</v>
      </c>
      <c r="N111" s="118" t="str">
        <f>IF(FN_MC!AM112="","*",FN_MC!AM112)</f>
        <v>TOM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1464</v>
      </c>
      <c r="C2" s="83" t="s">
        <v>1160</v>
      </c>
      <c r="D2" s="83" t="s">
        <v>1162</v>
      </c>
      <c r="E2" s="83" t="s">
        <v>1465</v>
      </c>
      <c r="F2" s="83" t="s">
        <v>1466</v>
      </c>
      <c r="G2" s="83" t="s">
        <v>1467</v>
      </c>
      <c r="H2" s="83" t="s">
        <v>1468</v>
      </c>
      <c r="I2" s="83" t="s">
        <v>1469</v>
      </c>
      <c r="J2" s="83" t="s">
        <v>1470</v>
      </c>
      <c r="K2" s="109" t="s">
        <v>1471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>
        <f>IF(FN_MC!B107="","*",FN_MC!B107)</f>
        <v>46088</v>
      </c>
      <c r="D102" s="101" t="str">
        <f>IF(FN_MC!D107="","*",FN_MC!D107)</f>
        <v>V86</v>
      </c>
      <c r="E102" s="101" t="str">
        <f>IF(FN_MC!H107="","*",FN_MC!H107)</f>
        <v>TIQ2</v>
      </c>
      <c r="F102" s="114" t="str">
        <f>IF(FN_MC!M107="","*",FN_MC!M107)</f>
        <v>TBS-TAL</v>
      </c>
      <c r="G102" s="101" t="str">
        <f>IF(FN_MC!I107="","*",FN_MC!I107)</f>
        <v>TIQ2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>
        <f>IF(FN_MC!B109="","*",FN_MC!B109)</f>
        <v>46088</v>
      </c>
      <c r="D104" s="101" t="str">
        <f>IF(FN_MC!D109="","*",FN_MC!D109)</f>
        <v>V77</v>
      </c>
      <c r="E104" s="101" t="str">
        <f>IF(FN_MC!H109="","*",FN_MC!H109)</f>
        <v>TIQ</v>
      </c>
      <c r="F104" s="114" t="str">
        <f>IF(FN_MC!M109="","*",FN_MC!M109)</f>
        <v>TIQ</v>
      </c>
      <c r="G104" s="101" t="str">
        <f>IF(FN_MC!I109="","*",FN_MC!I109)</f>
        <v>TGR2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>
        <f>IF(FN_MC!B112="","*",FN_MC!B112)</f>
        <v>46088</v>
      </c>
      <c r="D107" s="101" t="str">
        <f>IF(FN_MC!D112="","*",FN_MC!D112)</f>
        <v>ELSON (TF-526)</v>
      </c>
      <c r="E107" s="101" t="str">
        <f>IF(FN_MC!H112="","*",FN_MC!H112)</f>
        <v>TOM2</v>
      </c>
      <c r="F107" s="114" t="str">
        <f>IF(FN_MC!M112="","*",FN_MC!M112)</f>
        <v>TOM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2026-03-06T14:55:21Z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