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46" documentId="8_{B6337239-1A00-434D-AAD0-422EA1FEB5AE}" xr6:coauthVersionLast="47" xr6:coauthVersionMax="47" xr10:uidLastSave="{B5BC32E2-AC72-4C9E-B91C-34154ED923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3" i="1" l="1" a="1"/>
  <c r="N103" i="1" s="1"/>
  <c r="M103" i="1" a="1"/>
  <c r="M103" i="1" s="1"/>
  <c r="N102" i="1" a="1"/>
  <c r="N102" i="1" s="1"/>
  <c r="M102" i="1" a="1"/>
  <c r="M102" i="1" s="1"/>
  <c r="M98" i="1" a="1"/>
  <c r="M98" i="1" s="1"/>
  <c r="N98" i="1" a="1"/>
  <c r="N98" i="1" s="1"/>
  <c r="H98" i="1" a="1"/>
  <c r="H98" i="1" s="1"/>
  <c r="H97" i="1" a="1"/>
  <c r="H97" i="1" s="1"/>
  <c r="N96" i="1" a="1"/>
  <c r="N96" i="1" s="1"/>
  <c r="H95" i="1" a="1"/>
  <c r="H95" i="1" s="1"/>
  <c r="H93" i="1" a="1"/>
  <c r="H93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1" i="1" a="1"/>
  <c r="N101" i="1"/>
  <c r="N99" i="1" a="1"/>
  <c r="N99" i="1"/>
  <c r="N97" i="1" a="1"/>
  <c r="N97" i="1"/>
  <c r="N95" i="1" a="1"/>
  <c r="N95" i="1"/>
  <c r="N94" i="1" a="1"/>
  <c r="N94" i="1"/>
  <c r="N93" i="1" a="1"/>
  <c r="N93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5" i="1" a="1"/>
  <c r="M95" i="1"/>
  <c r="M94" i="1" a="1"/>
  <c r="M94" i="1"/>
  <c r="M93" i="1" a="1"/>
  <c r="M93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<sst xmlns="http://schemas.openxmlformats.org/spreadsheetml/2006/main" count="4750" uniqueCount="1138">
  <si>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</si>
  <si>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</si>
  <si>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</si>
  <si>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</si>
  <si>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</si>
  <si>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</si>
  <si>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</si>
  <si>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</si>
  <si>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</si>
  <si>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</si>
  <si>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</si>
  <si>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</si>
  <si>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</si>
  <si>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</si>
  <si>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</si>
  <si>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</si>
  <si>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</si>
  <si>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</si>
  <si>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</si>
  <si>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</si>
  <si>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</si>
  <si>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</si>
  <si>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</si>
  <si>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</si>
  <si>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</si>
  <si>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</si>
  <si>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</si>
  <si>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</si>
  <si>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</si>
  <si>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</si>
  <si>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</si>
  <si>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</si>
  <si>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</si>
  <si>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</si>
  <si>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</si>
  <si>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</si>
  <si>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</si>
  <si>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</si>
  <si>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</si>
  <si>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</si>
  <si>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</si>
  <si>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</si>
  <si>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</si>
  <si>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</si>
  <si>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</si>
  <si>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</si>
  <si>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</si>
  <si>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</si>
  <si>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</si>
  <si>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</si>
  <si>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</si>
  <si>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</si>
  <si>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</si>
  <si>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</si>
  <si>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</si>
  <si>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</si>
  <si>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</si>
  <si>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</si>
  <si>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</si>
  <si>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</si>
  <si>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</si>
  <si>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</si>
  <si>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</si>
  <si>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</si>
  <si>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</si>
  <si>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</si>
  <si>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</si>
  <si>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</si>
  <si>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</si>
  <si>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</si>
  <si>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</si>
  <si>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</si>
  <si>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</si>
  <si>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</si>
  <si>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</si>
  <si>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</si>
  <si>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</si>
  <si>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</si>
  <si>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</si>
  <si>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</si>
  <si>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</si>
  <si>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</si>
  <si>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</si>
  <si>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</si>
  <si>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</si>
  <si>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</si>
  <si>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</si>
  <si>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</si>
  <si>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</si>
  <si>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</si>
  <si>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</si>
  <si>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</si>
  <si>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</si>
  <si>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</si>
  <si>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</si>
  <si>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</si>
  <si>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</si>
  <si>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</si>
  <si>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</si>
  <si>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</si>
  <si>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</si>
  <si>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</si>
  <si>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</si>
  <si>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</si>
  <si>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</si>
  <si>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</si>
  <si>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</si>
  <si>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</si>
  <si>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</si>
  <si>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</si>
  <si>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</si>
  <si>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</si>
  <si>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</si>
  <si>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</si>
  <si>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</si>
  <si>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</si>
  <si>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</si>
  <si>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</si>
  <si>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</si>
  <si>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</si>
  <si>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</si>
  <si>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</si>
  <si>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</si>
  <si>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</si>
  <si>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</si>
  <si>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</si>
  <si>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</si>
  <si>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</si>
  <si>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</si>
  <si>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</si>
  <si>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</si>
  <si>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</si>
  <si>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</si>
  <si>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</si>
  <si>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</si>
  <si>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</si>
  <si>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</si>
  <si>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</si>
  <si>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</si>
  <si>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</si>
  <si>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</si>
  <si>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</si>
  <si>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</si>
  <si>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</si>
  <si>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</si>
  <si>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</si>
  <si>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</si>
  <si>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</si>
  <si>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</si>
  <si>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</si>
  <si>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</si>
  <si>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</si>
  <si>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</si>
  <si>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</si>
  <si>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</si>
  <si>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</si>
  <si>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</si>
  <si>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</si>
  <si>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</si>
  <si>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</si>
  <si>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</si>
  <si>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</si>
  <si>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</si>
  <si>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</si>
  <si>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</si>
  <si>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</si>
  <si>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</si>
  <si>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</si>
  <si>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</si>
  <si>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</si>
  <si>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</si>
  <si>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</si>
  <si>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</si>
  <si>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</si>
  <si>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</si>
  <si>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</si>
  <si>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</si>
  <si>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</si>
  <si>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</si>
  <si>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</si>
  <si>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</si>
  <si>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</si>
  <si>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</si>
  <si>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</si>
  <si>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</si>
  <si>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</si>
  <si>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</si>
  <si>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</si>
  <si>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</si>
  <si>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</si>
  <si>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</si>
  <si>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</si>
  <si>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</si>
  <si>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</si>
  <si>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</si>
  <si>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</si>
  <si>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</si>
  <si>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</si>
  <si>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</si>
  <si>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</si>
  <si>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</si>
  <si>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</si>
  <si>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</si>
  <si>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</si>
  <si>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</si>
  <si>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</si>
  <si>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</si>
  <si>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</si>
  <si>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</si>
  <si>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</si>
  <si>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</si>
  <si>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</si>
  <si>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</si>
  <si>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</si>
  <si>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</si>
  <si>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</si>
  <si>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</si>
  <si>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</si>
  <si>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</si>
  <si>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</si>
  <si>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</si>
  <si>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</si>
  <si>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</si>
  <si>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</si>
  <si>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</si>
  <si>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</si>
  <si>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</si>
  <si>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</si>
  <si>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</si>
  <si>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</si>
  <si>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</si>
  <si>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</si>
  <si>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</si>
  <si>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</si>
  <si>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</si>
  <si>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</si>
  <si>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</si>
  <si>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</si>
  <si>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</si>
  <si>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</si>
  <si>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</si>
  <si>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</si>
  <si>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</si>
  <si>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</si>
  <si>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</si>
  <si>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</si>
  <si>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</si>
  <si>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</si>
  <si>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</si>
  <si>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</si>
  <si>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</si>
  <si>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</si>
  <si>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</si>
  <si>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</si>
  <si>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</si>
  <si>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</si>
  <si>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</si>
  <si>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</si>
  <si>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</si>
  <si>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</si>
  <si>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</si>
  <si>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</si>
  <si>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</si>
  <si>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</si>
  <si>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</si>
  <si>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</si>
  <si>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</si>
  <si>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</si>
  <si>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</si>
  <si>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</si>
  <si>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</si>
  <si>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</si>
  <si>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</si>
  <si>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</si>
  <si>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</si>
  <si>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</si>
  <si>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</si>
  <si>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</si>
  <si>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</si>
  <si>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</si>
  <si>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</si>
  <si>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</si>
  <si>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</si>
  <si>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</si>
  <si>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</si>
  <si>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</si>
  <si>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</si>
  <si>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</si>
  <si>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</si>
  <si>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</si>
  <si>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</si>
  <si>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</si>
  <si>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</si>
  <si>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</si>
  <si>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</si>
  <si>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</si>
  <si>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</si>
  <si>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</si>
  <si>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</si>
  <si>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</si>
  <si>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</si>
  <si>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</si>
  <si>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</si>
  <si>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</si>
  <si>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</si>
  <si>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</si>
  <si>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</si>
  <si>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</si>
  <si>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</si>
  <si>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</si>
  <si>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</si>
  <si>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</si>
  <si>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</si>
  <si>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</si>
  <si>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</si>
  <si>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</si>
  <si>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</si>
  <si>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</si>
  <si>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</si>
  <si>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</si>
  <si>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</si>
  <si>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</si>
  <si>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</si>
  <si>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</si>
  <si>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</si>
  <si>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</si>
  <si>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</si>
  <si>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</si>
  <si>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</si>
  <si>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</si>
  <si>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</si>
  <si>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</si>
  <si>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</si>
  <si>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</si>
  <si>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</si>
  <si>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</si>
  <si>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</si>
  <si>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</si>
  <si>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</si>
  <si>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</si>
  <si>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</si>
  <si>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</si>
  <si>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</si>
  <si>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</si>
  <si>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</si>
  <si>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</si>
  <si>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</si>
  <si>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</si>
  <si>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</si>
  <si>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</si>
  <si>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</si>
  <si>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</si>
  <si>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</si>
  <si>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</si>
  <si>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</si>
  <si>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</si>
  <si>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</si>
  <si>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</si>
  <si>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</si>
  <si>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</si>
  <si>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</si>
  <si>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</si>
  <si>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</si>
  <si>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</si>
  <si>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</si>
  <si>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</si>
  <si>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</si>
  <si>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</si>
  <si>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</si>
  <si>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</si>
  <si>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</si>
  <si>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</si>
  <si>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</si>
  <si>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</si>
  <si>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</si>
  <si>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</si>
  <si>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</si>
  <si>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</si>
  <si>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</si>
  <si>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</si>
  <si>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</si>
  <si>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</si>
  <si>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</si>
  <si>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</si>
  <si>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</si>
  <si>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</si>
  <si>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</si>
  <si>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</si>
  <si>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</si>
  <si>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</si>
  <si>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</si>
  <si>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</si>
  <si>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</si>
  <si>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</si>
  <si>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</si>
  <si>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</si>
  <si>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</si>
  <si>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</si>
  <si>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</si>
  <si>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</si>
  <si>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</si>
  <si>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</si>
  <si>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</si>
  <si>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</si>
  <si>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</si>
  <si>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</si>
  <si>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</si>
  <si>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</si>
  <si>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</si>
  <si>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</si>
  <si>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</si>
  <si>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</si>
  <si>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</si>
  <si>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</si>
  <si>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</si>
  <si>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</si>
  <si>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</si>
  <si>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</si>
  <si>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</si>
  <si>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</si>
  <si>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</si>
  <si>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</si>
  <si>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</si>
  <si>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</si>
  <si>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</si>
  <si>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</si>
  <si>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</si>
  <si>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</si>
  <si>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</si>
  <si>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</si>
  <si>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</si>
  <si>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</si>
  <si>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</si>
  <si>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</si>
  <si>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</si>
  <si>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</si>
  <si>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</si>
  <si>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</si>
  <si>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</si>
  <si>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</si>
  <si>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</si>
  <si>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</si>
  <si>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</si>
  <si>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</si>
  <si>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</si>
  <si>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</si>
  <si>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</si>
  <si>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</si>
  <si>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</si>
  <si>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</si>
  <si>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</si>
  <si>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</si>
  <si>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</si>
  <si>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</si>
  <si>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</si>
  <si>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</si>
  <si>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</si>
  <si>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</si>
  <si>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</si>
  <si>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</si>
  <si>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</si>
  <si>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</si>
  <si>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</si>
  <si>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</si>
  <si>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</si>
  <si>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</si>
  <si>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</si>
  <si>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</si>
  <si>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</si>
  <si>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</si>
  <si>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</si>
  <si>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</si>
  <si>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</si>
  <si>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</si>
  <si>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</si>
  <si>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</si>
  <si>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</si>
  <si>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</si>
  <si>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</si>
  <si>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</si>
  <si>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</si>
  <si>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</si>
  <si>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</si>
  <si>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</si>
  <si>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</si>
  <si>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</si>
  <si>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</si>
  <si>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</si>
  <si>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</si>
  <si>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</si>
  <si>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</si>
  <si>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</si>
  <si>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</si>
  <si>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</si>
  <si>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</si>
  <si>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</si>
  <si>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</si>
  <si>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</si>
  <si>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</si>
  <si>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</si>
  <si>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</si>
  <si>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</si>
  <si>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</si>
  <si>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</si>
  <si>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</si>
  <si>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</si>
  <si>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</si>
  <si>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</si>
  <si>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</si>
  <si>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</si>
  <si>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</si>
  <si>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</si>
  <si>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</si>
  <si>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</si>
  <si>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</si>
  <si>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</si>
  <si>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</si>
  <si>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</si>
  <si>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</si>
  <si>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</si>
  <si>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</si>
  <si>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</si>
  <si>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</si>
  <si>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</si>
  <si>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</si>
  <si>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</si>
  <si>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</si>
  <si>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</si>
  <si>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</si>
  <si>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</si>
  <si>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</si>
  <si>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</si>
  <si>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</si>
  <si>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</si>
  <si>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</si>
  <si>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</si>
  <si>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</si>
  <si>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</si>
  <si>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</si>
  <si>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</si>
  <si>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</si>
  <si>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</si>
  <si>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</si>
  <si>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</si>
  <si>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</si>
  <si>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</si>
  <si>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</si>
  <si>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</si>
  <si>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</si>
  <si>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</si>
  <si>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</si>
  <si>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</si>
  <si>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</si>
  <si>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</si>
  <si>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</si>
  <si>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</si>
  <si>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</si>
  <si>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</si>
  <si>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</si>
  <si>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</si>
  <si>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</si>
  <si>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</si>
  <si>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</si>
  <si>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</si>
  <si>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</si>
  <si>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</si>
  <si>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</si>
  <si>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</si>
  <si>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</si>
  <si>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</si>
  <si>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</si>
  <si>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</si>
  <si>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</si>
  <si>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</si>
  <si>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</si>
  <si>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</si>
  <si>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</si>
  <si>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</si>
  <si>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</si>
  <si>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</si>
  <si>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</si>
  <si>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</si>
  <si>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</si>
  <si>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</si>
  <si>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</si>
  <si>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</si>
  <si>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</si>
  <si>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</si>
  <si>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</si>
  <si>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</si>
  <si>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</si>
  <si>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</si>
  <si>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</si>
  <si>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</si>
  <si>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</si>
  <si>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</si>
  <si>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</si>
  <si>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</si>
  <si>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</si>
  <si>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</si>
  <si>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</si>
  <si>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</si>
  <si>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</si>
  <si>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</si>
  <si>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</si>
  <si>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</si>
  <si>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</si>
  <si>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</si>
  <si>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</si>
  <si>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</si>
  <si>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</si>
  <si>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</si>
  <si>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</si>
  <si>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</si>
  <si>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</si>
  <si>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</si>
  <si>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</si>
  <si>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</si>
  <si>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</si>
  <si>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</si>
  <si>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</si>
  <si>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</si>
  <si>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</si>
  <si>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</si>
  <si>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</si>
  <si>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</si>
  <si>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</si>
  <si>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</si>
  <si>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</si>
  <si>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</si>
  <si>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</si>
  <si>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</si>
  <si>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</si>
  <si>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</si>
  <si>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</si>
  <si>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</si>
  <si>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</si>
  <si>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</si>
  <si>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</si>
  <si>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</si>
  <si>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</si>
  <si>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</si>
  <si>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</si>
  <si>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</si>
  <si>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</si>
  <si>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</si>
  <si>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</si>
  <si>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</si>
  <si>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</si>
  <si>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</si>
  <si>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</si>
  <si>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</si>
  <si>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</si>
  <si>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</si>
  <si>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</si>
  <si>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</si>
  <si>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</si>
  <si>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</si>
  <si>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</si>
  <si>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</si>
  <si>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</si>
  <si>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</si>
  <si>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</si>
  <si>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</si>
  <si>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</si>
  <si>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</si>
  <si>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</si>
  <si>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</si>
  <si>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</si>
  <si>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</si>
  <si>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</si>
  <si>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</si>
  <si>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</si>
  <si>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</si>
  <si>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</si>
  <si>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</si>
  <si>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</si>
  <si>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</si>
  <si>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</si>
  <si>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</si>
  <si>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</si>
  <si>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</si>
  <si>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</si>
  <si>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</si>
  <si>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</si>
  <si>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</si>
  <si>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</si>
  <si>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</si>
  <si>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</si>
  <si>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</si>
  <si>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</si>
  <si>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</si>
  <si>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</si>
  <si>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</si>
  <si>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</si>
  <si>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</si>
  <si>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</si>
  <si>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</si>
  <si>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</si>
  <si>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</si>
  <si>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</si>
  <si>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</si>
  <si>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</si>
  <si>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</si>
  <si>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</si>
  <si>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</si>
  <si>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</si>
  <si>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</si>
  <si>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</si>
  <si>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</si>
  <si>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</si>
  <si>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</si>
  <si>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</si>
  <si>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</si>
  <si>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</si>
  <si>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</si>
  <si>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</si>
  <si>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</si>
  <si>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</si>
  <si>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</si>
  <si>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</si>
  <si>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</si>
  <si>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</si>
  <si>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</si>
  <si>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</si>
  <si>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</si>
  <si>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</si>
  <si>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</si>
  <si>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</si>
  <si>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</si>
  <si>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</si>
  <si>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</si>
  <si>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</si>
  <si>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</si>
  <si>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</si>
  <si>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</si>
  <si>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</si>
  <si>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</si>
  <si>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</si>
  <si>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</si>
  <si>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</si>
  <si>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</si>
  <si>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</si>
  <si>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</si>
  <si>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</si>
  <si>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</si>
  <si>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</si>
  <si>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</si>
  <si>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</si>
  <si>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</si>
  <si>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</si>
  <si>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</si>
  <si>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</si>
  <si>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</si>
  <si>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</si>
  <si>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</si>
  <si>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</si>
  <si>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</si>
  <si>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</si>
  <si>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</si>
  <si>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</si>
  <si>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</si>
  <si>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</si>
  <si>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</si>
  <si>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</si>
  <si>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</si>
  <si>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</si>
  <si>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</si>
  <si>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</si>
  <si>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</si>
  <si>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</si>
  <si>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</si>
  <si>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</si>
  <si>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</si>
  <si>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</si>
  <si>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</si>
  <si>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</si>
  <si>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</si>
  <si>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</si>
  <si>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</si>
  <si>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</si>
  <si>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</si>
  <si>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</si>
  <si>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</si>
  <si>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</si>
  <si>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</si>
  <si>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</si>
  <si>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</si>
  <si>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</si>
  <si>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</si>
  <si>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</si>
  <si>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</si>
  <si>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</si>
  <si>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</si>
  <si>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</si>
  <si>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</si>
  <si>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</si>
  <si>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</si>
  <si>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</si>
  <si>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</si>
  <si>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</si>
  <si>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</si>
  <si>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</si>
  <si>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</si>
  <si>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</si>
  <si>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</si>
  <si>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</si>
  <si>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</si>
  <si>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</si>
  <si>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</si>
  <si>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</si>
  <si>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</si>
  <si>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</si>
  <si>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</si>
  <si>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</si>
  <si>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</si>
  <si>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</si>
  <si>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</si>
  <si>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</si>
  <si>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</si>
  <si>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</si>
  <si>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</si>
  <si>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</si>
  <si>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</si>
  <si>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</si>
  <si>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</si>
  <si>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</si>
  <si>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</si>
  <si>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</si>
  <si>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</si>
  <si>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</si>
  <si>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</si>
  <si>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</si>
  <si>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</si>
  <si>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</si>
  <si>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</si>
  <si>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</si>
  <si>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</si>
  <si>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</si>
  <si>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</si>
  <si>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</si>
  <si>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</si>
  <si>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</si>
  <si>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</si>
  <si>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</si>
  <si>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</si>
  <si>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</si>
  <si>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</si>
  <si>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</si>
  <si>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</si>
  <si>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</si>
  <si>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</si>
  <si>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</si>
  <si>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</si>
  <si>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</si>
  <si>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</si>
  <si>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</si>
  <si>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</si>
  <si>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</si>
  <si>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</si>
  <si>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</si>
  <si>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</si>
  <si>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</si>
  <si>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</si>
  <si>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</si>
  <si>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</si>
  <si>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</si>
  <si>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</si>
  <si>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</si>
  <si>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</si>
  <si>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</si>
  <si>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</si>
  <si>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</si>
  <si>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</si>
  <si>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</si>
  <si>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</si>
  <si>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</si>
  <si>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</si>
  <si>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</si>
  <si>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</si>
  <si>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</si>
  <si>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</si>
  <si>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</si>
  <si>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</si>
  <si>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</si>
  <si>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</si>
  <si>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</si>
  <si>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</si>
  <si>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</si>
  <si>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</si>
  <si>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</si>
  <si>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</si>
  <si>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</si>
  <si>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</si>
  <si>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</si>
  <si>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</si>
  <si>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</si>
  <si>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</si>
  <si>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</si>
  <si>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</si>
  <si>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</si>
  <si>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</si>
  <si>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</si>
  <si>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</si>
  <si>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</si>
  <si>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</si>
  <si>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</si>
  <si>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</si>
  <si>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</si>
  <si>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</si>
  <si>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</si>
  <si>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</si>
  <si>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</si>
  <si>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</si>
  <si>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</si>
  <si>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</si>
  <si>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</si>
  <si>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</si>
  <si>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</si>
  <si>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</si>
  <si>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</si>
  <si>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</si>
  <si>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</si>
  <si>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</si>
  <si>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</si>
  <si>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</si>
  <si>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</si>
  <si>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</si>
  <si>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</si>
  <si>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</si>
  <si>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</si>
  <si>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</si>
  <si>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</si>
  <si>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</si>
  <si>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</si>
  <si>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</si>
  <si>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</si>
  <si>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</si>
  <si>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</si>
  <si>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</si>
  <si>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</si>
  <si>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</si>
  <si>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</si>
  <si>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</si>
  <si>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</si>
  <si>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</si>
  <si>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</si>
  <si>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</si>
  <si>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</si>
  <si>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</si>
  <si>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</si>
  <si>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</si>
  <si>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</si>
  <si>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</si>
  <si>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</si>
  <si>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</si>
  <si>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</si>
  <si>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</si>
  <si>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</si>
  <si>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</si>
  <si>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</si>
  <si>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</si>
  <si>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</si>
  <si>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</si>
  <si>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</si>
  <si>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</si>
  <si>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</si>
  <si>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</si>
  <si>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</si>
  <si>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</si>
  <si>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</si>
  <si>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</si>
  <si>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</si>
  <si>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</si>
  <si>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</si>
  <si>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</si>
  <si>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</si>
  <si>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</si>
  <si>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</si>
  <si>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</si>
  <si>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</si>
  <si>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</si>
  <si>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</si>
  <si>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</si>
  <si>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</si>
  <si>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</si>
  <si>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</si>
  <si>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</si>
  <si>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</si>
  <si>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</si>
  <si>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</si>
  <si>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</si>
  <si>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</si>
  <si>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</si>
  <si>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</si>
  <si>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</si>
  <si>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</si>
  <si>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</si>
  <si>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</si>
  <si>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</si>
  <si>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</si>
  <si>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</si>
  <si>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</si>
  <si>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</si>
  <si>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</si>
  <si>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</si>
  <si>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</si>
  <si>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</si>
  <si>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</si>
  <si>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</si>
  <si>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</si>
  <si>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</si>
  <si>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</si>
  <si>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</si>
  <si>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</si>
  <si>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</si>
  <si>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</si>
  <si>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</si>
  <si>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</si>
  <si>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</si>
  <si>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</si>
  <si>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</si>
  <si>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</si>
  <si>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</si>
  <si>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</si>
  <si>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</si>
  <si>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</si>
  <si>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</si>
  <si>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</si>
  <si>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</si>
  <si>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</si>
  <si>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</si>
  <si>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</si>
  <si>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</si>
  <si>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</si>
  <si>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</si>
  <si>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</si>
  <si>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</si>
  <si>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</si>
  <si>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</si>
  <si>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</si>
  <si>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</si>
  <si>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</si>
  <si>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</si>
  <si>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</si>
  <si>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</si>
  <si>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</si>
  <si>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</si>
  <si>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</si>
  <si>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</si>
  <si>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</si>
  <si>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</si>
  <si>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</si>
  <si>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</si>
  <si>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</si>
  <si>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</si>
  <si>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</si>
  <si>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</si>
  <si>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</si>
  <si>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</si>
  <si>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</si>
  <si>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</si>
  <si>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</si>
  <si>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</si>
  <si>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</si>
  <si>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</si>
  <si>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</si>
  <si>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</si>
  <si>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</si>
  <si>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</si>
  <si>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</si>
  <si>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</si>
  <si>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</si>
  <si>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</si>
  <si>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</si>
  <si>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</si>
  <si>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</si>
  <si>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</si>
  <si>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</si>
  <si>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</si>
  <si>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</si>
  <si>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</si>
  <si>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</si>
  <si>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</si>
  <si>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</si>
  <si>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</si>
  <si>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</si>
  <si>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</si>
  <si>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Em intervalo para detecção ultrassom Sperry entre ZPT-ZPG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</si>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</sst>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L87" activePane="bottomRight" state="frozen"/>
      <selection pane="bottomRight" activeCell="W100" sqref="W1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1063</v>
      </c>
      <c r="BK64" s="17" t="s">
        <v>1063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1063</v>
      </c>
      <c r="BK65" s="17" t="s">
        <v>1063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1069</v>
      </c>
      <c r="J66" s="218">
        <v>92</v>
      </c>
      <c r="K66" s="218">
        <v>66.5</v>
      </c>
      <c r="L66" s="84" t="s">
        <v>317</v>
      </c>
      <c r="M66" s="205" t="s">
        <v>1070</v>
      </c>
      <c r="N66" s="205" t="s">
        <v>1071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1072</v>
      </c>
      <c r="BK66" s="17" t="s">
        <v>1073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1074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1075</v>
      </c>
      <c r="BK68" s="17" t="s">
        <v>1075</v>
      </c>
      <c r="BL68" s="16"/>
      <c r="BM68" s="15" t="s">
        <v>688</v>
      </c>
      <c r="BN68" s="15" t="s">
        <v>705</v>
      </c>
      <c r="BO68" s="166" t="s">
        <v>779</v>
      </c>
      <c r="BP68" s="17" t="s">
        <v>1075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1075</v>
      </c>
      <c r="BK69" s="17" t="s">
        <v>1075</v>
      </c>
      <c r="BL69" s="16"/>
      <c r="BM69" s="15" t="s">
        <v>688</v>
      </c>
      <c r="BN69" s="15" t="s">
        <v>705</v>
      </c>
      <c r="BO69" s="166" t="s">
        <v>779</v>
      </c>
      <c r="BP69" s="17" t="s">
        <v>1075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1075</v>
      </c>
      <c r="BK70" s="17" t="s">
        <v>1075</v>
      </c>
      <c r="BL70" s="16"/>
      <c r="BM70" s="15" t="s">
        <v>688</v>
      </c>
      <c r="BN70" s="15" t="s">
        <v>705</v>
      </c>
      <c r="BO70" s="166" t="s">
        <v>779</v>
      </c>
      <c r="BP70" s="17" t="s">
        <v>1075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1077</v>
      </c>
      <c r="BK72" s="17" t="s">
        <v>1078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1079</v>
      </c>
      <c r="BK73" s="17" t="s">
        <v>1080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1081</v>
      </c>
      <c r="BK74" s="17" t="s">
        <v>1082</v>
      </c>
      <c r="BL74" s="16"/>
      <c r="BM74" s="15" t="s">
        <v>688</v>
      </c>
      <c r="BN74" s="15" t="s">
        <v>705</v>
      </c>
      <c r="BO74" s="166" t="s">
        <v>804</v>
      </c>
      <c r="BP74" s="17" t="s">
        <v>1082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1083</v>
      </c>
      <c r="BK75" s="17" t="s">
        <v>1084</v>
      </c>
      <c r="BL75" s="16"/>
      <c r="BM75" s="15" t="s">
        <v>692</v>
      </c>
      <c r="BN75" s="15" t="s">
        <v>692</v>
      </c>
      <c r="BO75" s="166" t="s">
        <v>692</v>
      </c>
      <c r="BP75" s="17" t="s">
        <v>1084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1085</v>
      </c>
      <c r="BK76" s="17" t="s">
        <v>1086</v>
      </c>
      <c r="BL76" s="16"/>
      <c r="BM76" s="15" t="s">
        <v>679</v>
      </c>
      <c r="BN76" s="15" t="s">
        <v>700</v>
      </c>
      <c r="BO76" s="166" t="s">
        <v>768</v>
      </c>
      <c r="BP76" s="17" t="s">
        <v>1086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1087</v>
      </c>
      <c r="BK77" s="17" t="s">
        <v>1088</v>
      </c>
      <c r="BL77" s="16"/>
      <c r="BM77" s="15" t="s">
        <v>686</v>
      </c>
      <c r="BN77" s="15" t="s">
        <v>686</v>
      </c>
      <c r="BO77" s="166" t="s">
        <v>686</v>
      </c>
      <c r="BP77" s="17" t="s">
        <v>317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OKOK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1089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/>
      <c r="AS80" s="39"/>
      <c r="AT80" s="39"/>
      <c r="AU80" s="39"/>
      <c r="AV80" s="39"/>
      <c r="AW80" s="39"/>
      <c r="AX80" s="39"/>
      <c r="AY80" s="294">
        <f t="shared" si="8"/>
        <v>0</v>
      </c>
      <c r="AZ80" s="14"/>
      <c r="BA80" s="72"/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/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1090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1091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1092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1093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1094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1095</v>
      </c>
      <c r="W87" s="174" t="s">
        <v>1096</v>
      </c>
      <c r="X87" s="219" t="s">
        <v>662</v>
      </c>
      <c r="Y87" s="159"/>
      <c r="Z87" s="159"/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1074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174" t="s">
        <v>317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199" t="s">
        <v>1008</v>
      </c>
      <c r="W89" s="174" t="s">
        <v>1097</v>
      </c>
      <c r="X89" s="219" t="s">
        <v>662</v>
      </c>
      <c r="Y89" s="159"/>
      <c r="Z89" s="159"/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174" t="s">
        <v>317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199" t="s">
        <v>1008</v>
      </c>
      <c r="W90" s="174" t="s">
        <v>1097</v>
      </c>
      <c r="X90" s="219" t="s">
        <v>662</v>
      </c>
      <c r="Y90" s="159"/>
      <c r="Z90" s="159"/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174"/>
      <c r="I91" s="174"/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199" t="s">
        <v>1008</v>
      </c>
      <c r="W91" s="174" t="s">
        <v>1097</v>
      </c>
      <c r="X91" s="219" t="s">
        <v>662</v>
      </c>
      <c r="Y91" s="159"/>
      <c r="Z91" s="159"/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FRANCENILDO (TF-513)45995</v>
      </c>
      <c r="B93" s="172">
        <v>45995</v>
      </c>
      <c r="C93" s="8">
        <f>IF(BS_CONTROLE[[#This Row],[DATA]]="","",WEEKNUM(BS_CONTROLE[[#This Row],[DATA]]))</f>
        <v>49</v>
      </c>
      <c r="D93" s="52" t="s">
        <v>591</v>
      </c>
      <c r="E93" s="295">
        <v>88</v>
      </c>
      <c r="F93" s="173" t="s">
        <v>506</v>
      </c>
      <c r="G93" s="9" t="str">
        <f>IF(D93="","*",VLOOKUP(F93,BS_ATIVIDADE[#All],3,FALSE))</f>
        <v>TRILHO - SUBSTITUIÇÂO</v>
      </c>
      <c r="H93" s="205" t="str" cm="1">
        <f t="array" ref="H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3" s="174" t="s">
        <v>317</v>
      </c>
      <c r="J93" s="218">
        <v>55</v>
      </c>
      <c r="K93" s="218">
        <v>140.69999999999999</v>
      </c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3" s="174">
        <v>0.41666666666666669</v>
      </c>
      <c r="P93" s="174">
        <v>6.25E-2</v>
      </c>
      <c r="Q93" s="84">
        <v>18</v>
      </c>
      <c r="R93" s="10" t="str">
        <f>IFERROR(_xlfn.XLOOKUP(F93, BS_ATIVIDADE[ATIVIDADE],BS_ATIVIDADE[UNIDADE] ), "*")</f>
        <v>M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1098</v>
      </c>
      <c r="W93" s="174" t="s">
        <v>1094</v>
      </c>
      <c r="X93" s="219" t="s">
        <v>662</v>
      </c>
      <c r="Y93" s="159"/>
      <c r="Z93" s="159"/>
      <c r="AA93" s="84" t="s">
        <v>317</v>
      </c>
      <c r="AB93" s="71" t="s">
        <v>317</v>
      </c>
      <c r="AC93" s="71" t="s">
        <v>317</v>
      </c>
      <c r="AD93" s="174" t="s">
        <v>317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PDM - SUBSTITUIÇÃO - TRILHO</v>
      </c>
      <c r="AJ93" s="9" t="str">
        <f>IF(D93="","*",VLOOKUP(AI93,BS_ATIVIDADE[#Data],3,FALSE))</f>
        <v>TRILHO - SUBSTITUIÇÂO</v>
      </c>
      <c r="AK93" s="259" t="str">
        <f>IF(BS_CONTROLE[[#This Row],[Local - Partida]]=0, "-", BS_CONTROLE[[#This Row],[Local - Partida]])</f>
        <v>ZMS1402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ZEM-ZEJ</v>
      </c>
      <c r="AN93" s="259" t="str">
        <f>IF(BS_CONTROLE[[#This Row],[SB]]=0, "-", BS_CONTROLE[[#This Row],[SB]])</f>
        <v>ZMS1402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140.69999999999999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M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Onil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262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>HUELTON (TP-725)45995</v>
      </c>
      <c r="B95" s="172">
        <v>45995</v>
      </c>
      <c r="C95" s="8">
        <f>IF(BS_CONTROLE[[#This Row],[DATA]]="","",WEEKNUM(BS_CONTROLE[[#This Row],[DATA]]))</f>
        <v>49</v>
      </c>
      <c r="D95" s="52" t="s">
        <v>596</v>
      </c>
      <c r="E95" s="295">
        <v>90</v>
      </c>
      <c r="F95" s="173" t="s">
        <v>499</v>
      </c>
      <c r="G95" s="9" t="str">
        <f>IF(D95="","*",VLOOKUP(F95,BS_ATIVIDADE[#All],3,FALSE))</f>
        <v>SOLDA</v>
      </c>
      <c r="H95" s="205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5" s="174" t="s">
        <v>317</v>
      </c>
      <c r="J95" s="218">
        <v>54</v>
      </c>
      <c r="K95" s="218">
        <v>68.3</v>
      </c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5" s="174">
        <v>0.41666666666666669</v>
      </c>
      <c r="P95" s="174">
        <v>6.25E-2</v>
      </c>
      <c r="Q95" s="84">
        <v>1</v>
      </c>
      <c r="R95" s="10" t="str">
        <f>IFERROR(_xlfn.XLOOKUP(F95, BS_ATIVIDADE[ATIVIDADE],BS_ATIVIDADE[UNIDADE] ), "*")</f>
        <v>Nº DE SOLDA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81" t="str">
        <f>IFERROR(_xlfn.XLOOKUP(J95, BASE_MAPA!$D$2:$D$260, BASE_MAPA!$I$2:$I$260), "ERRO")</f>
        <v>ZEV</v>
      </c>
      <c r="V95" s="262" t="s">
        <v>1099</v>
      </c>
      <c r="W95" s="174" t="s">
        <v>1097</v>
      </c>
      <c r="X95" s="219" t="s">
        <v>662</v>
      </c>
      <c r="Y95" s="159"/>
      <c r="Z95" s="159"/>
      <c r="AA95" s="84" t="s">
        <v>317</v>
      </c>
      <c r="AB95" s="71" t="s">
        <v>317</v>
      </c>
      <c r="AC95" s="71" t="s">
        <v>317</v>
      </c>
      <c r="AD95" s="174" t="s">
        <v>317</v>
      </c>
      <c r="AE95" s="84" t="s">
        <v>317</v>
      </c>
      <c r="AF95" s="84" t="s">
        <v>317</v>
      </c>
      <c r="AG95" s="84" t="s">
        <v>317</v>
      </c>
      <c r="AH95" s="49"/>
      <c r="AI95" s="143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59" t="str">
        <f>IF(BS_CONTROLE[[#This Row],[Local - Partida]]=0, "-", BS_CONTROLE[[#This Row],[Local - Partida]])</f>
        <v>K69K671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069-ZEV</v>
      </c>
      <c r="AN95" s="259" t="str">
        <f>IF(BS_CONTROLE[[#This Row],[SB]]=0, "-", BS_CONTROLE[[#This Row],[SB]])</f>
        <v>K69K671</v>
      </c>
      <c r="AO95" s="260">
        <f>IF(BS_CONTROLE[[#This Row],[SUB]]=0, "-", BS_CONTROLE[[#This Row],[SUB]])</f>
        <v>54</v>
      </c>
      <c r="AP95" s="261">
        <f>IF(BS_CONTROLE[[#This Row],[KM - Inicio]]=0, "-", BS_CONTROLE[[#This Row],[KM - Inicio]])</f>
        <v>68.3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>
        <f t="shared" si="8"/>
        <v>0</v>
      </c>
      <c r="AZ95" s="14"/>
      <c r="BA95" s="72"/>
      <c r="BB95" s="10" t="str">
        <f>IFERROR(_xlfn.XLOOKUP(AI95, BS_ATIVIDADE[ATIVIDADE],BS_ATIVIDADE[UNIDADE] ), "*")</f>
        <v>Nº DE SOLDA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>
        <f>IFERROR(_xlfn.XLOOKUP(AO95, BASE_MAPA!$D$2:$D$260, BASE_MAPA!$I$2:$I$260), "ERRO")</f>
        <v>ZEV</v>
      </c>
      <c r="BF95" s="262" t="str">
        <f>IF(BS_CONTROLE[[#This Row],[Responsavel pelo boletim]]=0, "-", BS_CONTROLE[[#This Row],[Responsavel pelo boletim]])</f>
        <v>Huelton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Produção e Intervalo</v>
      </c>
      <c r="BR95" s="19">
        <f t="shared" si="10"/>
        <v>0</v>
      </c>
      <c r="BS95" s="19">
        <f t="shared" si="11"/>
        <v>0</v>
      </c>
      <c r="BT95" s="226" t="str">
        <f t="shared" si="12"/>
        <v/>
      </c>
    </row>
    <row r="96" spans="1:72">
      <c r="A96" s="51" t="str">
        <f t="shared" si="7"/>
        <v>W6145995</v>
      </c>
      <c r="B96" s="172">
        <v>45995</v>
      </c>
      <c r="C96" s="8">
        <f>IF(BS_CONTROLE[[#This Row],[DATA]]="","",WEEKNUM(BS_CONTROLE[[#This Row],[DATA]]))</f>
        <v>49</v>
      </c>
      <c r="D96" s="52" t="s">
        <v>539</v>
      </c>
      <c r="E96" s="295">
        <v>91</v>
      </c>
      <c r="F96" s="173" t="s">
        <v>331</v>
      </c>
      <c r="G96" s="9" t="str">
        <f>IF(D96="","*",VLOOKUP(F96,BS_ATIVIDADE[#All],3,FALSE))</f>
        <v>OUTROS</v>
      </c>
      <c r="H96" s="174" t="s">
        <v>145</v>
      </c>
      <c r="I96" s="174" t="s">
        <v>143</v>
      </c>
      <c r="J96" s="218">
        <v>92</v>
      </c>
      <c r="K96" s="218">
        <v>83.7</v>
      </c>
      <c r="L96" s="218" t="s">
        <v>317</v>
      </c>
      <c r="M96" s="218" t="s">
        <v>957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6" s="174">
        <v>0.3125</v>
      </c>
      <c r="P96" s="174">
        <v>4.1666666666666664E-2</v>
      </c>
      <c r="Q96" s="218">
        <v>1</v>
      </c>
      <c r="R96" s="10" t="str">
        <f>IFERROR(_xlfn.XLOOKUP(F96, BS_ATIVIDADE[ATIVIDADE],BS_ATIVIDADE[UNIDADE] ), "*")</f>
        <v>BINÁRIO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069-ZEV</v>
      </c>
      <c r="V96" s="262" t="s">
        <v>958</v>
      </c>
      <c r="W96" s="262" t="s">
        <v>1100</v>
      </c>
      <c r="X96" s="219" t="s">
        <v>657</v>
      </c>
      <c r="Y96" s="159"/>
      <c r="Z96" s="159"/>
      <c r="AA96" s="84" t="s">
        <v>1101</v>
      </c>
      <c r="AB96" s="71" t="s">
        <v>653</v>
      </c>
      <c r="AC96" s="71" t="s">
        <v>648</v>
      </c>
      <c r="AD96" s="174">
        <v>0.27083333333333331</v>
      </c>
      <c r="AE96" s="84">
        <v>7663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DESLOCAMENTO</v>
      </c>
      <c r="AJ96" s="9" t="str">
        <f>IF(D96="","*",VLOOKUP(AI96,BS_ATIVIDADE[#Data],3,FALSE))</f>
        <v>OUTROS</v>
      </c>
      <c r="AK96" s="259" t="str">
        <f>IF(BS_CONTROLE[[#This Row],[Local - Partida]]=0, "-", BS_CONTROLE[[#This Row],[Local - Partida]])</f>
        <v>Z3VZEV</v>
      </c>
      <c r="AL96" s="259" t="str">
        <f>IF(BS_CONTROLE[[#This Row],[Local - Encerramento]]=0, "-", BS_CONTROLE[[#This Row],[Local - Encerramento]])</f>
        <v>K67ZEV1</v>
      </c>
      <c r="AM96" s="259" t="str">
        <f>IF(BS_CONTROLE[[#This Row],[Entre - Estações]]=0, "-", BS_CONTROLE[[#This Row],[Entre - Estações]])</f>
        <v>ZEV-ZXW</v>
      </c>
      <c r="AN96" s="259" t="str">
        <f>IF(BS_CONTROLE[[#This Row],[SB]]=0, "-", BS_CONTROLE[[#This Row],[SB]])</f>
        <v>K84ZXW2</v>
      </c>
      <c r="AO96" s="260">
        <f>IF(BS_CONTROLE[[#This Row],[SUB]]=0, "-", BS_CONTROLE[[#This Row],[SUB]])</f>
        <v>92</v>
      </c>
      <c r="AP96" s="261">
        <f>IF(BS_CONTROLE[[#This Row],[KM - Inicio]]=0, "-", BS_CONTROLE[[#This Row],[KM - Inicio]])</f>
        <v>83.7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BINÁRIO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069-ZEV</v>
      </c>
      <c r="BF96" s="262" t="str">
        <f>IF(BS_CONTROLE[[#This Row],[Responsavel pelo boletim]]=0, "-", BS_CONTROLE[[#This Row],[Responsavel pelo boletim]])</f>
        <v>Moisés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EDSON (TP-719)45995</v>
      </c>
      <c r="B97" s="172">
        <v>45995</v>
      </c>
      <c r="C97" s="8">
        <f>IF(BS_CONTROLE[[#This Row],[DATA]]="","",WEEKNUM(BS_CONTROLE[[#This Row],[DATA]]))</f>
        <v>49</v>
      </c>
      <c r="D97" s="52" t="s">
        <v>584</v>
      </c>
      <c r="E97" s="295">
        <v>92</v>
      </c>
      <c r="F97" s="173" t="s">
        <v>469</v>
      </c>
      <c r="G97" s="9" t="str">
        <f>IF(D97="","*",VLOOKUP(F97,BS_ATIVIDADE[#All],3,FALSE))</f>
        <v>ALÍVIO</v>
      </c>
      <c r="H97" s="205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7" s="174" t="s">
        <v>317</v>
      </c>
      <c r="J97" s="218">
        <v>92</v>
      </c>
      <c r="K97" s="218">
        <v>95.5</v>
      </c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7" s="174">
        <v>0.41666666666666669</v>
      </c>
      <c r="P97" s="174">
        <v>6.25E-2</v>
      </c>
      <c r="Q97" s="84">
        <v>300</v>
      </c>
      <c r="R97" s="10" t="str">
        <f>IFERROR(_xlfn.XLOOKUP(F97, BS_ATIVIDADE[ATIVIDADE],BS_ATIVIDADE[UNIDADE] ), "*")</f>
        <v>M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174" t="s">
        <v>1102</v>
      </c>
      <c r="X97" s="219" t="s">
        <v>662</v>
      </c>
      <c r="Y97" s="159"/>
      <c r="Z97" s="159"/>
      <c r="AA97" s="84" t="s">
        <v>317</v>
      </c>
      <c r="AB97" s="71" t="s">
        <v>317</v>
      </c>
      <c r="AC97" s="71" t="s">
        <v>317</v>
      </c>
      <c r="AD97" s="174" t="s">
        <v>317</v>
      </c>
      <c r="AE97" s="84" t="s">
        <v>317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PDM - ALÍVIO DE TENSÃO</v>
      </c>
      <c r="AJ97" s="9" t="str">
        <f>IF(D97="","*",VLOOKUP(AI97,BS_ATIVIDADE[#Data],3,FALSE))</f>
        <v>ALÍVIO</v>
      </c>
      <c r="AK97" s="259" t="str">
        <f>IF(BS_CONTROLE[[#This Row],[Local - Partida]]=0, "-", BS_CONTROLE[[#This Row],[Local - Partida]])</f>
        <v>K96K952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ZWU-ZDC</v>
      </c>
      <c r="AN97" s="259" t="str">
        <f>IF(BS_CONTROLE[[#This Row],[SB]]=0, "-", BS_CONTROLE[[#This Row],[SB]])</f>
        <v>K96K952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95.5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M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LEANDRO (TP-727)45995</v>
      </c>
      <c r="B98" s="172">
        <v>45995</v>
      </c>
      <c r="C98" s="8">
        <f>IF(BS_CONTROLE[[#This Row],[DATA]]="","",WEEKNUM(BS_CONTROLE[[#This Row],[DATA]]))</f>
        <v>49</v>
      </c>
      <c r="D98" s="52" t="s">
        <v>615</v>
      </c>
      <c r="E98" s="295">
        <v>93</v>
      </c>
      <c r="F98" s="173" t="s">
        <v>506</v>
      </c>
      <c r="G98" s="9" t="str">
        <f>IF(D98="","*",VLOOKUP(F98,BS_ATIVIDADE[#All],3,FALSE))</f>
        <v>TRILHO - SUBSTITUIÇÂO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8" s="174" t="s">
        <v>317</v>
      </c>
      <c r="J98" s="218">
        <v>92</v>
      </c>
      <c r="K98" s="218">
        <v>103.3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74">
        <v>0.45833333333333331</v>
      </c>
      <c r="P98" s="174">
        <v>8.3333333333333329E-2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1103</v>
      </c>
      <c r="X98" s="219" t="s">
        <v>662</v>
      </c>
      <c r="Y98" s="159"/>
      <c r="Z98" s="159"/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59" t="str">
        <f>IF(BS_CONTROLE[[#This Row],[Local - Partida]]=0, "-", BS_CONTROLE[[#This Row],[Local - Partida]])</f>
        <v>ZGP2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ZGP</v>
      </c>
      <c r="AN98" s="259" t="str">
        <f>IF(BS_CONTROLE[[#This Row],[SB]]=0, "-", BS_CONTROLE[[#This Row],[SB]])</f>
        <v>ZGP2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103.3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262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>A8445995</v>
      </c>
      <c r="B100" s="172">
        <v>45995</v>
      </c>
      <c r="C100" s="8">
        <f>IF(BS_CONTROLE[[#This Row],[DATA]]="","",WEEKNUM(BS_CONTROLE[[#This Row],[DATA]]))</f>
        <v>49</v>
      </c>
      <c r="D100" s="52" t="s">
        <v>445</v>
      </c>
      <c r="E100" s="295">
        <v>95</v>
      </c>
      <c r="F100" s="173" t="s">
        <v>338</v>
      </c>
      <c r="G100" s="9" t="str">
        <f>IF(D100="","*",VLOOKUP(F100,BS_ATIVIDADE[#All],3,FALSE))</f>
        <v>DETECÇÃO</v>
      </c>
      <c r="H100" s="174" t="s">
        <v>178</v>
      </c>
      <c r="I100" s="174" t="s">
        <v>61</v>
      </c>
      <c r="J100" s="218">
        <v>54</v>
      </c>
      <c r="K100" s="218">
        <v>105.5</v>
      </c>
      <c r="L100" s="84" t="s">
        <v>317</v>
      </c>
      <c r="M100" s="205" t="s">
        <v>1104</v>
      </c>
      <c r="N100" s="205" t="s">
        <v>1105</v>
      </c>
      <c r="O100" s="174">
        <v>0.3125</v>
      </c>
      <c r="P100" s="174">
        <v>4.1666666666666664E-2</v>
      </c>
      <c r="Q100" s="84">
        <v>65</v>
      </c>
      <c r="R100" s="10" t="str">
        <f>IFERROR(_xlfn.XLOOKUP(F100, BS_ATIVIDADE[ATIVIDADE],BS_ATIVIDADE[UNIDADE] ), "*")</f>
        <v>KM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0" s="81" t="str">
        <f>IFERROR(_xlfn.XLOOKUP(J100, BASE_MAPA!$D$2:$D$260, BASE_MAPA!$I$2:$I$260), "ERRO")</f>
        <v>ZEV</v>
      </c>
      <c r="V100" s="262" t="s">
        <v>1106</v>
      </c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DETECÇÃO - RONDA 7 DIAS</v>
      </c>
      <c r="AJ100" s="9" t="str">
        <f>IF(D100="","*",VLOOKUP(AI100,BS_ATIVIDADE[#Data],3,FALSE))</f>
        <v>DETECÇÃO</v>
      </c>
      <c r="AK100" s="259" t="str">
        <f>IF(BS_CONTROLE[[#This Row],[Local - Partida]]=0, "-", BS_CONTROLE[[#This Row],[Local - Partida]])</f>
        <v>ZPT1051</v>
      </c>
      <c r="AL100" s="259" t="str">
        <f>IF(BS_CONTROLE[[#This Row],[Local - Encerramento]]=0, "-", BS_CONTROLE[[#This Row],[Local - Encerramento]])</f>
        <v>ZEM1</v>
      </c>
      <c r="AM100" s="259" t="str">
        <f>IF(BS_CONTROLE[[#This Row],[Entre - Estações]]=0, "-", BS_CONTROLE[[#This Row],[Entre - Estações]])</f>
        <v>ZPT-ZEM</v>
      </c>
      <c r="AN100" s="259" t="str">
        <f>IF(BS_CONTROLE[[#This Row],[SB]]=0, "-", BS_CONTROLE[[#This Row],[SB]])</f>
        <v>ZPTZEM</v>
      </c>
      <c r="AO100" s="260">
        <f>IF(BS_CONTROLE[[#This Row],[SUB]]=0, "-", BS_CONTROLE[[#This Row],[SUB]])</f>
        <v>54</v>
      </c>
      <c r="AP100" s="261">
        <f>IF(BS_CONTROLE[[#This Row],[KM - Inicio]]=0, "-", BS_CONTROLE[[#This Row],[KM - Inicio]])</f>
        <v>105.5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>
        <f t="shared" si="8"/>
        <v>0</v>
      </c>
      <c r="AZ100" s="14"/>
      <c r="BA100" s="72"/>
      <c r="BB100" s="10" t="str">
        <f>IFERROR(_xlfn.XLOOKUP(AI100, BS_ATIVIDADE[ATIVIDADE],BS_ATIVIDADE[UNIDADE] ), "*")</f>
        <v>KM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0" s="11" t="str">
        <f>IFERROR(_xlfn.XLOOKUP(AO100, BASE_MAPA!$D$2:$D$260, BASE_MAPA!$I$2:$I$260), "ERRO")</f>
        <v>ZEV</v>
      </c>
      <c r="BF100" s="262" t="str">
        <f>IF(BS_CONTROLE[[#This Row],[Responsavel pelo boletim]]=0, "-", BS_CONTROLE[[#This Row],[Responsavel pelo boletim]])</f>
        <v>Benedito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Produção e Intervalo</v>
      </c>
      <c r="BR100" s="19">
        <f t="shared" si="10"/>
        <v>0</v>
      </c>
      <c r="BS100" s="19">
        <f t="shared" si="11"/>
        <v>0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262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>V8545995</v>
      </c>
      <c r="B102" s="172">
        <v>45995</v>
      </c>
      <c r="C102" s="8">
        <f>IF(BS_CONTROLE[[#This Row],[DATA]]="","",WEEKNUM(BS_CONTROLE[[#This Row],[DATA]]))</f>
        <v>49</v>
      </c>
      <c r="D102" s="52" t="s">
        <v>513</v>
      </c>
      <c r="E102" s="295">
        <v>608</v>
      </c>
      <c r="F102" s="71" t="s">
        <v>422</v>
      </c>
      <c r="G102" s="9" t="str">
        <f>IF(D102="","*",VLOOKUP(F102,BS_ATIVIDADE[#All],3,FALSE))</f>
        <v>MECANIZAÇÃO - SOCADORA</v>
      </c>
      <c r="H102" s="174" t="s">
        <v>983</v>
      </c>
      <c r="I102" s="174" t="s">
        <v>951</v>
      </c>
      <c r="J102" s="218">
        <v>30</v>
      </c>
      <c r="K102" s="218">
        <v>114.3</v>
      </c>
      <c r="L102" s="218">
        <v>115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2" s="174">
        <v>0.35416666666666669</v>
      </c>
      <c r="P102" s="174">
        <v>8.3333333333333329E-2</v>
      </c>
      <c r="Q102" s="218">
        <v>700</v>
      </c>
      <c r="R102" s="10" t="str">
        <f>IFERROR(_xlfn.XLOOKUP(F102, BS_ATIVIDADE[ATIVIDADE],BS_ATIVIDADE[UNIDADE] ), "*")</f>
        <v>M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2" s="81" t="str">
        <f>IFERROR(_xlfn.XLOOKUP(J102, BASE_MAPA!$D$2:$D$260, BASE_MAPA!$I$2:$I$260), "ERRO")</f>
        <v>ZGM-109</v>
      </c>
      <c r="V102" s="262" t="s">
        <v>924</v>
      </c>
      <c r="W102" s="262" t="s">
        <v>1090</v>
      </c>
      <c r="X102" s="219" t="s">
        <v>662</v>
      </c>
      <c r="Y102" s="159"/>
      <c r="Z102" s="159"/>
      <c r="AA102" s="218">
        <v>1</v>
      </c>
      <c r="AB102" s="173" t="s">
        <v>653</v>
      </c>
      <c r="AC102" s="173" t="s">
        <v>648</v>
      </c>
      <c r="AD102" s="317">
        <v>0.25</v>
      </c>
      <c r="AE102" s="218">
        <v>6235</v>
      </c>
      <c r="AF102" s="218">
        <v>6215</v>
      </c>
      <c r="AG102" s="218" t="s">
        <v>317</v>
      </c>
      <c r="AH102" s="49"/>
      <c r="AI102" s="143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59" t="str">
        <f>IF(BS_CONTROLE[[#This Row],[Local - Partida]]=0, "-", BS_CONTROLE[[#This Row],[Local - Partida]])</f>
        <v>109ZPT2</v>
      </c>
      <c r="AL102" s="259" t="str">
        <f>IF(BS_CONTROLE[[#This Row],[Local - Encerramento]]=0, "-", BS_CONTROLE[[#This Row],[Local - Encerramento]])</f>
        <v>ZPTZDR</v>
      </c>
      <c r="AM102" s="259" t="str">
        <f>IF(BS_CONTROLE[[#This Row],[Entre - Estações]]=0, "-", BS_CONTROLE[[#This Row],[Entre - Estações]])</f>
        <v>ZGM1</v>
      </c>
      <c r="AN102" s="259" t="str">
        <f>IF(BS_CONTROLE[[#This Row],[SB]]=0, "-", BS_CONTROLE[[#This Row],[SB]])</f>
        <v>ZGM1</v>
      </c>
      <c r="AO102" s="260">
        <f>IF(BS_CONTROLE[[#This Row],[SUB]]=0, "-", BS_CONTROLE[[#This Row],[SUB]])</f>
        <v>30</v>
      </c>
      <c r="AP102" s="261">
        <f>IF(BS_CONTROLE[[#This Row],[KM - Inicio]]=0, "-", BS_CONTROLE[[#This Row],[KM - Inicio]])</f>
        <v>114.3</v>
      </c>
      <c r="AQ102" s="261">
        <f>IF(BS_CONTROLE[[#This Row],[KM - Fim]]=0, "-", BS_CONTROLE[[#This Row],[KM - Fim]])</f>
        <v>115</v>
      </c>
      <c r="AR102" s="39"/>
      <c r="AS102" s="39"/>
      <c r="AT102" s="39"/>
      <c r="AU102" s="39"/>
      <c r="AV102" s="39"/>
      <c r="AW102" s="39"/>
      <c r="AX102" s="39"/>
      <c r="AY102" s="294">
        <f t="shared" si="14"/>
        <v>0</v>
      </c>
      <c r="AZ102" s="14"/>
      <c r="BA102" s="72"/>
      <c r="BB102" s="10" t="str">
        <f>IFERROR(_xlfn.XLOOKUP(AI102, BS_ATIVIDADE[ATIVIDADE],BS_ATIVIDADE[UNIDADE] ), "*")</f>
        <v>M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2" s="11" t="str">
        <f>IFERROR(_xlfn.XLOOKUP(AO102, BASE_MAPA!$D$2:$D$260, BASE_MAPA!$I$2:$I$260), "ERRO")</f>
        <v>ZGM-109</v>
      </c>
      <c r="BF102" s="262" t="str">
        <f>IF(BS_CONTROLE[[#This Row],[Responsavel pelo boletim]]=0, "-", BS_CONTROLE[[#This Row],[Responsavel pelo boletim]])</f>
        <v>Saulo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Produção e Intervalo</v>
      </c>
      <c r="BR102" s="19">
        <f t="shared" si="16"/>
        <v>0</v>
      </c>
      <c r="BS102" s="19">
        <f t="shared" si="17"/>
        <v>0</v>
      </c>
      <c r="BT102" s="226" t="str">
        <f t="shared" si="18"/>
        <v/>
      </c>
    </row>
    <row r="103" spans="1:72">
      <c r="A103" s="51" t="str">
        <f t="shared" si="13"/>
        <v>DIEGO (TF-42)45995</v>
      </c>
      <c r="B103" s="172">
        <v>45995</v>
      </c>
      <c r="C103" s="8">
        <f>IF(BS_CONTROLE[[#This Row],[DATA]]="","",WEEKNUM(BS_CONTROLE[[#This Row],[DATA]]))</f>
        <v>49</v>
      </c>
      <c r="D103" s="52" t="s">
        <v>579</v>
      </c>
      <c r="E103" s="295">
        <v>46</v>
      </c>
      <c r="F103" s="173" t="s">
        <v>395</v>
      </c>
      <c r="G103" s="9" t="str">
        <f>IF(D103="","*",VLOOKUP(F103,BS_ATIVIDADE[#All],3,FALSE))</f>
        <v>LIMPEZA LASTRO</v>
      </c>
      <c r="H103" s="174" t="s">
        <v>317</v>
      </c>
      <c r="I103" s="174" t="s">
        <v>317</v>
      </c>
      <c r="J103" s="218">
        <v>53</v>
      </c>
      <c r="K103" s="218">
        <v>115.5</v>
      </c>
      <c r="L103" s="84" t="s">
        <v>317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3" s="174">
        <v>0.45833333333333331</v>
      </c>
      <c r="P103" s="174">
        <v>8.3333333333333329E-2</v>
      </c>
      <c r="Q103" s="84">
        <v>2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3" s="81" t="str">
        <f>IFERROR(_xlfn.XLOOKUP(J103, BASE_MAPA!$D$2:$D$260, BASE_MAPA!$I$2:$I$260), "ERRO")</f>
        <v>PAT-ZGM</v>
      </c>
      <c r="V103" s="262" t="s">
        <v>958</v>
      </c>
      <c r="W103" s="174" t="s">
        <v>928</v>
      </c>
      <c r="X103" s="219" t="s">
        <v>662</v>
      </c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LIMPEZA LASTRO</v>
      </c>
      <c r="AJ103" s="9" t="str">
        <f>IF(D103="","*",VLOOKUP(AI103,BS_ATIVIDADE[#Data],3,FALSE))</f>
        <v>LIMPEZA LASTRO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ZGM-109</v>
      </c>
      <c r="AN103" s="259" t="str">
        <f>IF(BS_CONTROLE[[#This Row],[SB]]=0, "-", BS_CONTROLE[[#This Row],[SB]])</f>
        <v>117ZGM2</v>
      </c>
      <c r="AO103" s="260">
        <f>IF(BS_CONTROLE[[#This Row],[SUB]]=0, "-", BS_CONTROLE[[#This Row],[SUB]])</f>
        <v>53</v>
      </c>
      <c r="AP103" s="261">
        <f>IF(BS_CONTROLE[[#This Row],[KM - Inicio]]=0, "-", BS_CONTROLE[[#This Row],[KM - Inicio]])</f>
        <v>115.5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3" s="11" t="str">
        <f>IFERROR(_xlfn.XLOOKUP(AO103, BASE_MAPA!$D$2:$D$260, BASE_MAPA!$I$2:$I$260), "ERRO")</f>
        <v>PAT-ZGM</v>
      </c>
      <c r="BF103" s="262" t="str">
        <f>IF(BS_CONTROLE[[#This Row],[Responsavel pelo boletim]]=0, "-", BS_CONTROLE[[#This Row],[Responsavel pelo boletim]])</f>
        <v>Moisés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262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95 O97:Q101 O103:Q450" name="Range1_9_1"/>
    <protectedRange sqref="V29:Y30 X6:Y28 X31:Y35 V36:Y50 V52:Y54 X51:Y51 X56:Y61 V61:W61 W55:Y55 V68:V70 X68:Y70 V71:Y73 V74 X74:Y75 V76:Y76 V78:Y79 X77:Y77 V62:Y67 X80:Y81 V82:Y95 X96:Y96 V97:Y101 X102:Y102 V103:Y450" name="Range1_11_1"/>
    <protectedRange sqref="Z29:AD30 Z6:Z28 Z31:Z32 Z43:AD46 Z40:Z42 Z49:AD50 Z47:Z48 Z52:AD55 Z51 Z33:AD39 Z56:Z57 Z58:AD74 Z76:AD76 Z75 Z78:AD79 Z77 Z80:Z81 Z82:AD101 Z103:AD450 Z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6 J102" name="Range1_16_2"/>
    <protectedRange sqref="O7:Q7 P8:P9 O27:Q27 O20:Q20 O25:Q25 O14:Q14 P33:P34 P58:P59 O75:Q75 O96:Q96 O102:Q102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2:AC102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4" operator="equal">
      <formula>"ERRO"</formula>
    </cfRule>
  </conditionalFormatting>
  <conditionalFormatting sqref="X4 Y475:Y550 Y1:Z474">
    <cfRule type="cellIs" dxfId="137" priority="18373" operator="equal">
      <formula>"OPORTUNIDADE"</formula>
    </cfRule>
  </conditionalFormatting>
  <conditionalFormatting sqref="AZ6:AZ522">
    <cfRule type="expression" dxfId="136" priority="18368">
      <formula>$BU6=1</formula>
    </cfRule>
  </conditionalFormatting>
  <conditionalFormatting sqref="BQ6:BQ599">
    <cfRule type="cellIs" dxfId="135" priority="18379" operator="equal">
      <formula>"Produção e Intervalo"</formula>
    </cfRule>
    <cfRule type="cellIs" dxfId="134" priority="18380" operator="equal">
      <formula>"Aderente"</formula>
    </cfRule>
    <cfRule type="cellIs" dxfId="133" priority="18381" operator="equal">
      <formula>"Intervalo"</formula>
    </cfRule>
    <cfRule type="cellIs" dxfId="132" priority="18382" operator="equal">
      <formula>"Produção"</formula>
    </cfRule>
    <cfRule type="cellIs" dxfId="131" priority="18383" operator="equal">
      <formula>"ERRO"</formula>
    </cfRule>
  </conditionalFormatting>
  <conditionalFormatting sqref="BR6:BS552">
    <cfRule type="cellIs" dxfId="130" priority="18361" operator="equal">
      <formula>"*"</formula>
    </cfRule>
    <cfRule type="cellIs" dxfId="129" priority="18362" operator="greaterThanOrEqual">
      <formula>1</formula>
    </cfRule>
    <cfRule type="cellIs" dxfId="128" priority="18363" operator="lessThan">
      <formula>1</formula>
    </cfRule>
  </conditionalFormatting>
  <conditionalFormatting sqref="X475:X522 Y475:Y550 Y6:Z474">
    <cfRule type="cellIs" dxfId="127" priority="18309" operator="equal">
      <formula>"NÃO"</formula>
    </cfRule>
    <cfRule type="cellIs" dxfId="126" priority="18310" operator="equal">
      <formula>"SIM"</formula>
    </cfRule>
  </conditionalFormatting>
  <conditionalFormatting sqref="X475:X522">
    <cfRule type="cellIs" dxfId="125" priority="18308" operator="equal">
      <formula>"OPORTUNIDADE"</formula>
    </cfRule>
  </conditionalFormatting>
  <conditionalFormatting sqref="Z475:Z522">
    <cfRule type="cellIs" dxfId="124" priority="18306" operator="equal">
      <formula>"NÃO"</formula>
    </cfRule>
    <cfRule type="cellIs" dxfId="123" priority="18307" operator="equal">
      <formula>"SIM"</formula>
    </cfRule>
  </conditionalFormatting>
  <conditionalFormatting sqref="Z475:Z522">
    <cfRule type="cellIs" dxfId="122" priority="18305" operator="equal">
      <formula>"OPORTUNIDADE"</formula>
    </cfRule>
  </conditionalFormatting>
  <conditionalFormatting sqref="Y1048575:Y1048576">
    <cfRule type="cellIs" dxfId="121" priority="18190" operator="equal">
      <formula>"OPORTUNIDADE"</formula>
    </cfRule>
  </conditionalFormatting>
  <conditionalFormatting sqref="Y1048575:Y1048576">
    <cfRule type="cellIs" dxfId="120" priority="18188" operator="equal">
      <formula>"NÃO"</formula>
    </cfRule>
    <cfRule type="cellIs" dxfId="119" priority="18189" operator="equal">
      <formula>"SIM"</formula>
    </cfRule>
  </conditionalFormatting>
  <conditionalFormatting sqref="Z523:Z548">
    <cfRule type="cellIs" dxfId="118" priority="17925" operator="equal">
      <formula>"OPORTUNIDADE"</formula>
    </cfRule>
  </conditionalFormatting>
  <conditionalFormatting sqref="Z523:Z548">
    <cfRule type="cellIs" dxfId="117" priority="17923" operator="equal">
      <formula>"NÃO"</formula>
    </cfRule>
    <cfRule type="cellIs" dxfId="116" priority="17924" operator="equal">
      <formula>"SIM"</formula>
    </cfRule>
  </conditionalFormatting>
  <conditionalFormatting sqref="X549">
    <cfRule type="cellIs" dxfId="115" priority="17911" operator="equal">
      <formula>"NÃO"</formula>
    </cfRule>
    <cfRule type="cellIs" dxfId="114" priority="17912" operator="equal">
      <formula>"SIM"</formula>
    </cfRule>
  </conditionalFormatting>
  <conditionalFormatting sqref="X549">
    <cfRule type="cellIs" dxfId="113" priority="17910" operator="equal">
      <formula>"OPORTUNIDADE"</formula>
    </cfRule>
  </conditionalFormatting>
  <conditionalFormatting sqref="Z549">
    <cfRule type="cellIs" dxfId="112" priority="17908" operator="equal">
      <formula>"NÃO"</formula>
    </cfRule>
    <cfRule type="cellIs" dxfId="111" priority="17909" operator="equal">
      <formula>"SIM"</formula>
    </cfRule>
  </conditionalFormatting>
  <conditionalFormatting sqref="Z549">
    <cfRule type="cellIs" dxfId="110" priority="17907" operator="equal">
      <formula>"OPORTUNIDADE"</formula>
    </cfRule>
  </conditionalFormatting>
  <conditionalFormatting sqref="BI549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7">
      <iconSet showValue="0">
        <cfvo type="percent" val="0"/>
        <cfvo type="num" val="1"/>
        <cfvo type="num" val="1" gte="0"/>
      </iconSet>
    </cfRule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1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7">
      <formula>$BU492=1</formula>
    </cfRule>
  </conditionalFormatting>
  <conditionalFormatting sqref="AZ525:AZ549">
    <cfRule type="expression" dxfId="108" priority="18687">
      <formula>$BU497=1</formula>
    </cfRule>
  </conditionalFormatting>
  <conditionalFormatting sqref="BI523:BI548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2" operator="equal">
      <formula>"*"</formula>
    </cfRule>
    <cfRule type="cellIs" dxfId="106" priority="13323" operator="greaterThanOrEqual">
      <formula>1</formula>
    </cfRule>
    <cfRule type="cellIs" dxfId="105" priority="13324" operator="lessThan">
      <formula>1</formula>
    </cfRule>
  </conditionalFormatting>
  <conditionalFormatting sqref="BI6:BI522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2">
      <iconSet showValue="0">
        <cfvo type="percent" val="0"/>
        <cfvo type="num" val="1"/>
        <cfvo type="num" val="1" gte="0"/>
      </iconSet>
    </cfRule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599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P6:BP55 BP71:BP73 BP57:BP60 BP62:BP67 BP77:BP59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1107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1108</v>
      </c>
      <c r="C4" s="327" t="s">
        <v>1109</v>
      </c>
      <c r="D4" s="327" t="s">
        <v>1110</v>
      </c>
      <c r="E4" s="327" t="s">
        <v>1111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1112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1113</v>
      </c>
      <c r="E3" s="327" t="s">
        <v>1114</v>
      </c>
      <c r="F3" s="327" t="s">
        <v>1115</v>
      </c>
      <c r="G3" s="327" t="s">
        <v>1116</v>
      </c>
      <c r="H3" s="327" t="s">
        <v>1117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1118</v>
      </c>
      <c r="D5" s="359"/>
      <c r="E5" s="359"/>
      <c r="F5" s="359"/>
      <c r="G5" s="359"/>
      <c r="H5" s="359"/>
      <c r="I5" s="359"/>
      <c r="J5" s="360"/>
      <c r="K5" s="361" t="s">
        <v>1119</v>
      </c>
      <c r="L5" s="362"/>
      <c r="M5" s="362"/>
      <c r="N5" s="362"/>
      <c r="O5" s="363" t="s">
        <v>1120</v>
      </c>
      <c r="P5" s="364"/>
      <c r="Q5" s="365"/>
    </row>
    <row r="6" spans="1:17" s="94" customFormat="1" ht="15.75" customHeight="1">
      <c r="A6" s="88" t="s">
        <v>1121</v>
      </c>
      <c r="B6" s="95" t="s">
        <v>1122</v>
      </c>
      <c r="C6" s="96" t="s">
        <v>869</v>
      </c>
      <c r="D6" s="97" t="s">
        <v>870</v>
      </c>
      <c r="E6" s="96" t="s">
        <v>1123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1124</v>
      </c>
      <c r="M6" s="140" t="s">
        <v>335</v>
      </c>
      <c r="N6" s="141" t="s">
        <v>864</v>
      </c>
      <c r="O6" s="247" t="s">
        <v>907</v>
      </c>
      <c r="P6" s="158"/>
      <c r="Q6" s="194" t="s">
        <v>1125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 t="str">
        <f>IF(SP_SUL!H89="","*",SP_SUL!H89)</f>
        <v>-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 t="str">
        <f>IF(SP_SUL!AK89="","*",SP_SUL!AK89)</f>
        <v>-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 t="str">
        <f>IF(SP_SUL!H90="","*",SP_SUL!H90)</f>
        <v>-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 t="str">
        <f>IF(SP_SUL!AK90="","*",SP_SUL!AK90)</f>
        <v>-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 t="str">
        <f>IF(SP_SUL!H91="","*",SP_SUL!H91)</f>
        <v>*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 t="str">
        <f>IF(SP_SUL!AK91="","*",SP_SUL!AK91)</f>
        <v>-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FRANCENILDO (TF-513)</v>
      </c>
      <c r="F95" s="100" t="str">
        <f>IF(SP_SUL!H93="","*",SP_SUL!H93)</f>
        <v>ZMS1402</v>
      </c>
      <c r="G95" s="100" t="str">
        <f>IF(SP_SUL!M93="","*",SP_SUL!M93)</f>
        <v>ZEM-ZEJ</v>
      </c>
      <c r="H95" s="155">
        <f>IF(SP_SUL!K93="","*",SP_SUL!K93)</f>
        <v>140.69999999999999</v>
      </c>
      <c r="I95" s="133">
        <f>IF(SP_SUL!O93="","*",SP_SUL!O93)</f>
        <v>0.41666666666666669</v>
      </c>
      <c r="J95" s="133">
        <f>IF(SP_SUL!P93="","*",SP_SUL!P93)</f>
        <v>6.25E-2</v>
      </c>
      <c r="K95" s="142" t="str">
        <f>IF(SP_SUL!AK93="","*",SP_SUL!AK93)</f>
        <v>ZMS1402</v>
      </c>
      <c r="L95" s="142" t="str">
        <f>IF(SP_SUL!AM93="","*",SP_SUL!AM93)</f>
        <v>ZEM-ZEJ</v>
      </c>
      <c r="M95" s="142">
        <f>IF(SP_SUL!AP93="","*",SP_SUL!AP93)</f>
        <v>140.69999999999999</v>
      </c>
      <c r="N95" s="142" t="str">
        <f>IF(SP_SUL!AM93="","*",SP_SUL!AM93)</f>
        <v>ZEM-ZEJ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>
        <f>IF(SP_SUL!B95="","*",SP_SUL!B95)</f>
        <v>45995</v>
      </c>
      <c r="B97" s="99" t="str">
        <f>IF(SP_SUL!X95="","*",SP_SUL!X95)</f>
        <v>Oportunidade</v>
      </c>
      <c r="C97" s="100" t="str">
        <f>IF(SP_SUL!S95="","*",SP_SUL!S95)</f>
        <v>SP SUL</v>
      </c>
      <c r="D97" s="100" t="str">
        <f>IF(SP_SUL!T95="","*",SP_SUL!T95)</f>
        <v>ZEV-ZPT</v>
      </c>
      <c r="E97" s="100" t="str">
        <f>IF(SP_SUL!D95="","*",SP_SUL!D95)</f>
        <v>HUELTON (TP-725)</v>
      </c>
      <c r="F97" s="100" t="str">
        <f>IF(SP_SUL!H95="","*",SP_SUL!H95)</f>
        <v>K69K671</v>
      </c>
      <c r="G97" s="100" t="str">
        <f>IF(SP_SUL!M95="","*",SP_SUL!M95)</f>
        <v>069-ZEV</v>
      </c>
      <c r="H97" s="155">
        <f>IF(SP_SUL!K95="","*",SP_SUL!K95)</f>
        <v>68.3</v>
      </c>
      <c r="I97" s="133">
        <f>IF(SP_SUL!O95="","*",SP_SUL!O95)</f>
        <v>0.41666666666666669</v>
      </c>
      <c r="J97" s="133">
        <f>IF(SP_SUL!P95="","*",SP_SUL!P95)</f>
        <v>6.25E-2</v>
      </c>
      <c r="K97" s="142" t="str">
        <f>IF(SP_SUL!AK95="","*",SP_SUL!AK95)</f>
        <v>K69K671</v>
      </c>
      <c r="L97" s="142" t="str">
        <f>IF(SP_SUL!AM95="","*",SP_SUL!AM95)</f>
        <v>069-ZEV</v>
      </c>
      <c r="M97" s="142">
        <f>IF(SP_SUL!AP95="","*",SP_SUL!AP95)</f>
        <v>68.3</v>
      </c>
      <c r="N97" s="142" t="str">
        <f>IF(SP_SUL!AM95="","*",SP_SUL!AM95)</f>
        <v>069-ZEV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Contrato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W61</v>
      </c>
      <c r="F98" s="100" t="str">
        <f>IF(SP_SUL!H96="","*",SP_SUL!H96)</f>
        <v>Z3VZEV</v>
      </c>
      <c r="G98" s="100" t="str">
        <f>IF(SP_SUL!M96="","*",SP_SUL!M96)</f>
        <v>ZEV-ZXW</v>
      </c>
      <c r="H98" s="155">
        <f>IF(SP_SUL!K96="","*",SP_SUL!K96)</f>
        <v>83.7</v>
      </c>
      <c r="I98" s="133">
        <f>IF(SP_SUL!O96="","*",SP_SUL!O96)</f>
        <v>0.3125</v>
      </c>
      <c r="J98" s="133">
        <f>IF(SP_SUL!P96="","*",SP_SUL!P96)</f>
        <v>4.1666666666666664E-2</v>
      </c>
      <c r="K98" s="142" t="str">
        <f>IF(SP_SUL!AK96="","*",SP_SUL!AK96)</f>
        <v>Z3VZEV</v>
      </c>
      <c r="L98" s="142" t="str">
        <f>IF(SP_SUL!AM96="","*",SP_SUL!AM96)</f>
        <v>ZEV-ZXW</v>
      </c>
      <c r="M98" s="142">
        <f>IF(SP_SUL!AP96="","*",SP_SUL!AP96)</f>
        <v>83.7</v>
      </c>
      <c r="N98" s="142" t="str">
        <f>IF(SP_SUL!AM96="","*",SP_SUL!AM96)</f>
        <v>ZEV-ZXW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Oportunidade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EDSON (TP-719)</v>
      </c>
      <c r="F99" s="100" t="str">
        <f>IF(SP_SUL!H97="","*",SP_SUL!H97)</f>
        <v>K96K952</v>
      </c>
      <c r="G99" s="100" t="str">
        <f>IF(SP_SUL!M97="","*",SP_SUL!M97)</f>
        <v>ZWU-ZDC</v>
      </c>
      <c r="H99" s="155">
        <f>IF(SP_SUL!K97="","*",SP_SUL!K97)</f>
        <v>95.5</v>
      </c>
      <c r="I99" s="133">
        <f>IF(SP_SUL!O97="","*",SP_SUL!O97)</f>
        <v>0.41666666666666669</v>
      </c>
      <c r="J99" s="133">
        <f>IF(SP_SUL!P97="","*",SP_SUL!P97)</f>
        <v>6.25E-2</v>
      </c>
      <c r="K99" s="142" t="str">
        <f>IF(SP_SUL!AK97="","*",SP_SUL!AK97)</f>
        <v>K96K952</v>
      </c>
      <c r="L99" s="142" t="str">
        <f>IF(SP_SUL!AM97="","*",SP_SUL!AM97)</f>
        <v>ZWU-ZDC</v>
      </c>
      <c r="M99" s="142">
        <f>IF(SP_SUL!AP97="","*",SP_SUL!AP97)</f>
        <v>95.5</v>
      </c>
      <c r="N99" s="142" t="str">
        <f>IF(SP_SUL!AM97="","*",SP_SUL!AM97)</f>
        <v>ZWU-ZDC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LEANDRO (TP-727)</v>
      </c>
      <c r="F100" s="100" t="str">
        <f>IF(SP_SUL!H98="","*",SP_SUL!H98)</f>
        <v>ZGP2</v>
      </c>
      <c r="G100" s="100" t="str">
        <f>IF(SP_SUL!M98="","*",SP_SUL!M98)</f>
        <v>ZGP</v>
      </c>
      <c r="H100" s="155">
        <f>IF(SP_SUL!K98="","*",SP_SUL!K98)</f>
        <v>103.3</v>
      </c>
      <c r="I100" s="133">
        <f>IF(SP_SUL!O98="","*",SP_SUL!O98)</f>
        <v>0.45833333333333331</v>
      </c>
      <c r="J100" s="133">
        <f>IF(SP_SUL!P98="","*",SP_SUL!P98)</f>
        <v>8.3333333333333329E-2</v>
      </c>
      <c r="K100" s="142" t="str">
        <f>IF(SP_SUL!AK98="","*",SP_SUL!AK98)</f>
        <v>ZGP2</v>
      </c>
      <c r="L100" s="142" t="str">
        <f>IF(SP_SUL!AM98="","*",SP_SUL!AM98)</f>
        <v>ZGP</v>
      </c>
      <c r="M100" s="142">
        <f>IF(SP_SUL!AP98="","*",SP_SUL!AP98)</f>
        <v>103.3</v>
      </c>
      <c r="N100" s="142" t="str">
        <f>IF(SP_SUL!AM98="","*",SP_SUL!AM98)</f>
        <v>ZGP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>
        <f>IF(SP_SUL!B100="","*",SP_SUL!B100)</f>
        <v>45995</v>
      </c>
      <c r="B102" s="99" t="str">
        <f>IF(SP_SUL!X100="","*",SP_SUL!X100)</f>
        <v>*</v>
      </c>
      <c r="C102" s="100" t="str">
        <f>IF(SP_SUL!S100="","*",SP_SUL!S100)</f>
        <v>SP SUL</v>
      </c>
      <c r="D102" s="100" t="str">
        <f>IF(SP_SUL!T100="","*",SP_SUL!T100)</f>
        <v>ZEV-ZPT</v>
      </c>
      <c r="E102" s="100" t="str">
        <f>IF(SP_SUL!D100="","*",SP_SUL!D100)</f>
        <v>A84</v>
      </c>
      <c r="F102" s="100" t="str">
        <f>IF(SP_SUL!H100="","*",SP_SUL!H100)</f>
        <v>ZPT1051</v>
      </c>
      <c r="G102" s="100" t="str">
        <f>IF(SP_SUL!M100="","*",SP_SUL!M100)</f>
        <v>ZPT-ZEM</v>
      </c>
      <c r="H102" s="155">
        <f>IF(SP_SUL!K100="","*",SP_SUL!K100)</f>
        <v>105.5</v>
      </c>
      <c r="I102" s="133">
        <f>IF(SP_SUL!O100="","*",SP_SUL!O100)</f>
        <v>0.3125</v>
      </c>
      <c r="J102" s="133">
        <f>IF(SP_SUL!P100="","*",SP_SUL!P100)</f>
        <v>4.1666666666666664E-2</v>
      </c>
      <c r="K102" s="142" t="str">
        <f>IF(SP_SUL!AK100="","*",SP_SUL!AK100)</f>
        <v>ZPT1051</v>
      </c>
      <c r="L102" s="142" t="str">
        <f>IF(SP_SUL!AM100="","*",SP_SUL!AM100)</f>
        <v>ZPT-ZEM</v>
      </c>
      <c r="M102" s="142">
        <f>IF(SP_SUL!AP100="","*",SP_SUL!AP100)</f>
        <v>105.5</v>
      </c>
      <c r="N102" s="142" t="str">
        <f>IF(SP_SUL!AM100="","*",SP_SUL!AM100)</f>
        <v>ZPT-ZEM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>
        <f>IF(SP_SUL!B102="","*",SP_SUL!B102)</f>
        <v>45995</v>
      </c>
      <c r="B104" s="99" t="str">
        <f>IF(SP_SUL!X102="","*",SP_SUL!X102)</f>
        <v>Oportunidade</v>
      </c>
      <c r="C104" s="100" t="str">
        <f>IF(SP_SUL!S102="","*",SP_SUL!S102)</f>
        <v>SP SUL</v>
      </c>
      <c r="D104" s="100" t="str">
        <f>IF(SP_SUL!T102="","*",SP_SUL!T102)</f>
        <v>ZEV-ZPT</v>
      </c>
      <c r="E104" s="100" t="str">
        <f>IF(SP_SUL!D102="","*",SP_SUL!D102)</f>
        <v>V85</v>
      </c>
      <c r="F104" s="100" t="str">
        <f>IF(SP_SUL!H102="","*",SP_SUL!H102)</f>
        <v>109ZPT2</v>
      </c>
      <c r="G104" s="100" t="str">
        <f>IF(SP_SUL!M102="","*",SP_SUL!M102)</f>
        <v>ZGM1</v>
      </c>
      <c r="H104" s="155">
        <f>IF(SP_SUL!K102="","*",SP_SUL!K102)</f>
        <v>114.3</v>
      </c>
      <c r="I104" s="133">
        <f>IF(SP_SUL!O102="","*",SP_SUL!O102)</f>
        <v>0.35416666666666669</v>
      </c>
      <c r="J104" s="133">
        <f>IF(SP_SUL!P102="","*",SP_SUL!P102)</f>
        <v>8.3333333333333329E-2</v>
      </c>
      <c r="K104" s="142" t="str">
        <f>IF(SP_SUL!AK102="","*",SP_SUL!AK102)</f>
        <v>109ZPT2</v>
      </c>
      <c r="L104" s="142" t="str">
        <f>IF(SP_SUL!AM102="","*",SP_SUL!AM102)</f>
        <v>ZGM1</v>
      </c>
      <c r="M104" s="142">
        <f>IF(SP_SUL!AP102="","*",SP_SUL!AP102)</f>
        <v>114.3</v>
      </c>
      <c r="N104" s="142" t="str">
        <f>IF(SP_SUL!AM102="","*",SP_SUL!AM102)</f>
        <v>ZGM1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ZPT-ZPG</v>
      </c>
      <c r="E105" s="100" t="str">
        <f>IF(SP_SUL!D103="","*",SP_SUL!D103)</f>
        <v>DIEGO (TF-42)</v>
      </c>
      <c r="F105" s="100" t="str">
        <f>IF(SP_SUL!H103="","*",SP_SUL!H103)</f>
        <v>-</v>
      </c>
      <c r="G105" s="100" t="str">
        <f>IF(SP_SUL!M103="","*",SP_SUL!M103)</f>
        <v>ZGM-109</v>
      </c>
      <c r="H105" s="155">
        <f>IF(SP_SUL!K103="","*",SP_SUL!K103)</f>
        <v>115.5</v>
      </c>
      <c r="I105" s="133">
        <f>IF(SP_SUL!O103="","*",SP_SUL!O103)</f>
        <v>0.45833333333333331</v>
      </c>
      <c r="J105" s="133">
        <f>IF(SP_SUL!P103="","*",SP_SUL!P103)</f>
        <v>8.3333333333333329E-2</v>
      </c>
      <c r="K105" s="142" t="str">
        <f>IF(SP_SUL!AK103="","*",SP_SUL!AK103)</f>
        <v>-</v>
      </c>
      <c r="L105" s="142" t="str">
        <f>IF(SP_SUL!AM103="","*",SP_SUL!AM103)</f>
        <v>ZGM-109</v>
      </c>
      <c r="M105" s="142">
        <f>IF(SP_SUL!AP103="","*",SP_SUL!AP103)</f>
        <v>115.5</v>
      </c>
      <c r="N105" s="142" t="str">
        <f>IF(SP_SUL!AM103="","*",SP_SUL!AM103)</f>
        <v>ZGM-109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1125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1126</v>
      </c>
      <c r="W1" s="371"/>
      <c r="X1" s="371"/>
      <c r="Y1" s="105"/>
    </row>
    <row r="2" spans="1:25" s="101" customFormat="1" ht="11.25" customHeight="1">
      <c r="A2" s="106" t="s">
        <v>1127</v>
      </c>
      <c r="B2" s="106" t="s">
        <v>1122</v>
      </c>
      <c r="C2" s="106" t="s">
        <v>313</v>
      </c>
      <c r="D2" s="107" t="s">
        <v>869</v>
      </c>
      <c r="E2" s="107" t="s">
        <v>870</v>
      </c>
      <c r="F2" s="107" t="s">
        <v>1121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1128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Oportunidade</v>
      </c>
      <c r="C85" s="110" t="str">
        <f>IF(SP_SUL!Z87="","*",SP_SUL!Z87)</f>
        <v>*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Oportunidade</v>
      </c>
      <c r="C87" s="110" t="str">
        <f>IF(SP_SUL!Z89="","*",SP_SUL!Z89)</f>
        <v>*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 t="str">
        <f>IF(SP_SUL!H89="","*",SP_SUL!H89)</f>
        <v>-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Oportunidade</v>
      </c>
      <c r="C88" s="110" t="str">
        <f>IF(SP_SUL!Z90="","*",SP_SUL!Z90)</f>
        <v>*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 t="str">
        <f>IF(SP_SUL!H90="","*",SP_SUL!H90)</f>
        <v>-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Oportunidade</v>
      </c>
      <c r="C89" s="110" t="str">
        <f>IF(SP_SUL!Z91="","*",SP_SUL!Z91)</f>
        <v>*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 t="str">
        <f ca="1">_xlfn.XLOOKUP(G89&amp;$V$2,BS_CONTROLE[CHAVE],BS_CONTROLE[Quantidade_11],"-")</f>
        <v>-</v>
      </c>
      <c r="W89" s="113">
        <f ca="1">_xlfn.XLOOKUP(G89&amp;$W$2,BS_CONTROLE[CHAVE],BS_CONTROLE[Quantidade_11],"-")</f>
        <v>1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Oportunidade</v>
      </c>
      <c r="C91" s="110" t="str">
        <f>IF(SP_SUL!Z93="","*",SP_SUL!Z93)</f>
        <v>*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FRANCENILDO (TF-513)</v>
      </c>
      <c r="H91" s="111" t="str">
        <f>IF(SP_SUL!F93="","*",SP_SUL!F93)</f>
        <v>PDM - SUBSTITUIÇÃO - TRILHO</v>
      </c>
      <c r="I91" s="111" t="str">
        <f>IF(SP_SUL!H93="","*",SP_SUL!H93)</f>
        <v>ZMS1402</v>
      </c>
      <c r="J91" s="111" t="str">
        <f>IF(SP_SUL!I93="","*",SP_SUL!I93)</f>
        <v>-</v>
      </c>
      <c r="K91" s="111" t="str">
        <f>IF(SP_SUL!M93="","*",SP_SUL!M93)</f>
        <v>ZEM-ZEJ</v>
      </c>
      <c r="L91" s="111" t="str">
        <f>IF(SP_SUL!N93="","*",SP_SUL!N93)</f>
        <v>ZMS1402</v>
      </c>
      <c r="M91" s="112">
        <f>IF(SP_SUL!J93="","*",SP_SUL!J93)</f>
        <v>55</v>
      </c>
      <c r="N91" s="271">
        <f>IF(SP_SUL!K93="","*",SP_SUL!K93)</f>
        <v>140.69999999999999</v>
      </c>
      <c r="O91" s="271" t="str">
        <f>IF(SP_SUL!L93="","*",SP_SUL!L93)</f>
        <v>-</v>
      </c>
      <c r="P91" s="112"/>
      <c r="Q91" s="129">
        <f>IF(SP_SUL!O93="","*",SP_SUL!O93)</f>
        <v>0.41666666666666669</v>
      </c>
      <c r="R91" s="129">
        <f>IF(SP_SUL!P93="","*",SP_SUL!P93)</f>
        <v>6.25E-2</v>
      </c>
      <c r="S91" s="111" t="str">
        <f>IF(SP_SUL!Q93="","*",CONCATENATE(SP_SUL!Q93," ",SP_SUL!R93))</f>
        <v>18 M</v>
      </c>
      <c r="T91" s="111" t="str">
        <f>IF(SP_SUL!V93="","*",SP_SUL!V93)</f>
        <v>Onil</v>
      </c>
      <c r="U91" s="111" t="str">
        <f>IF(SP_SUL!W93="","*",SP_SUL!W93)</f>
        <v>Substituição de trilho - Condicionado à temperatura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Oportunidade</v>
      </c>
      <c r="C93" s="110" t="str">
        <f>IF(SP_SUL!Z95="","*",SP_SUL!Z95)</f>
        <v>*</v>
      </c>
      <c r="D93" s="111" t="str">
        <f>IF(SP_SUL!S95="","*",SP_SUL!S95)</f>
        <v>SP SUL</v>
      </c>
      <c r="E93" s="111" t="str">
        <f>IF(SP_SUL!T95="","*",SP_SUL!T95)</f>
        <v>ZEV-ZPT</v>
      </c>
      <c r="F93" s="111">
        <f>IF(SP_SUL!B95="","*",SP_SUL!B95)</f>
        <v>45995</v>
      </c>
      <c r="G93" s="111" t="str">
        <f>IF(SP_SUL!D95="","*",SP_SUL!D95)</f>
        <v>HUELTON (TP-725)</v>
      </c>
      <c r="H93" s="111" t="str">
        <f>IF(SP_SUL!F95="","*",SP_SUL!F95)</f>
        <v>PDM - SOLDA</v>
      </c>
      <c r="I93" s="111" t="str">
        <f>IF(SP_SUL!H95="","*",SP_SUL!H95)</f>
        <v>K69K671</v>
      </c>
      <c r="J93" s="111" t="str">
        <f>IF(SP_SUL!I95="","*",SP_SUL!I95)</f>
        <v>-</v>
      </c>
      <c r="K93" s="111" t="str">
        <f>IF(SP_SUL!M95="","*",SP_SUL!M95)</f>
        <v>069-ZEV</v>
      </c>
      <c r="L93" s="111" t="str">
        <f>IF(SP_SUL!N95="","*",SP_SUL!N95)</f>
        <v>K69K671</v>
      </c>
      <c r="M93" s="112">
        <f>IF(SP_SUL!J95="","*",SP_SUL!J95)</f>
        <v>54</v>
      </c>
      <c r="N93" s="271">
        <f>IF(SP_SUL!K95="","*",SP_SUL!K95)</f>
        <v>68.3</v>
      </c>
      <c r="O93" s="271" t="str">
        <f>IF(SP_SUL!L95="","*",SP_SUL!L95)</f>
        <v>-</v>
      </c>
      <c r="P93" s="112"/>
      <c r="Q93" s="129">
        <f>IF(SP_SUL!O95="","*",SP_SUL!O95)</f>
        <v>0.41666666666666669</v>
      </c>
      <c r="R93" s="129">
        <f>IF(SP_SUL!P95="","*",SP_SUL!P95)</f>
        <v>6.25E-2</v>
      </c>
      <c r="S93" s="111" t="str">
        <f>IF(SP_SUL!Q95="","*",CONCATENATE(SP_SUL!Q95," ",SP_SUL!R95))</f>
        <v>1 Nº DE SOLDA</v>
      </c>
      <c r="T93" s="111" t="str">
        <f>IF(SP_SUL!V95="","*",SP_SUL!V95)</f>
        <v>Huelton</v>
      </c>
      <c r="U93" s="111" t="str">
        <f>IF(SP_SUL!W95="","*",SP_SUL!W95)</f>
        <v>Execução de soldas - Condicionado à temperatura</v>
      </c>
      <c r="V93" s="113">
        <f ca="1">_xlfn.XLOOKUP(G93&amp;$V$2,BS_CONTROLE[CHAVE],BS_CONTROLE[Quantidade_11],"-")</f>
        <v>1</v>
      </c>
      <c r="W93" s="113">
        <f ca="1">_xlfn.XLOOKUP(G93&amp;$W$2,BS_CONTROLE[CHAVE],BS_CONTROLE[Quantidade_11],"-")</f>
        <v>1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Contrato</v>
      </c>
      <c r="C94" s="110" t="str">
        <f>IF(SP_SUL!Z96="","*",SP_SUL!Z96)</f>
        <v>*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W61</v>
      </c>
      <c r="H94" s="111" t="str">
        <f>IF(SP_SUL!F96="","*",SP_SUL!F96)</f>
        <v>DESLOCAMENTO</v>
      </c>
      <c r="I94" s="111" t="str">
        <f>IF(SP_SUL!H96="","*",SP_SUL!H96)</f>
        <v>Z3VZEV</v>
      </c>
      <c r="J94" s="111" t="str">
        <f>IF(SP_SUL!I96="","*",SP_SUL!I96)</f>
        <v>K67ZEV1</v>
      </c>
      <c r="K94" s="111" t="str">
        <f>IF(SP_SUL!M96="","*",SP_SUL!M96)</f>
        <v>ZEV-ZXW</v>
      </c>
      <c r="L94" s="111" t="str">
        <f>IF(SP_SUL!N96="","*",SP_SUL!N96)</f>
        <v>K84ZXW2</v>
      </c>
      <c r="M94" s="112">
        <f>IF(SP_SUL!J96="","*",SP_SUL!J96)</f>
        <v>92</v>
      </c>
      <c r="N94" s="271">
        <f>IF(SP_SUL!K96="","*",SP_SUL!K96)</f>
        <v>83.7</v>
      </c>
      <c r="O94" s="271" t="str">
        <f>IF(SP_SUL!L96="","*",SP_SUL!L96)</f>
        <v>-</v>
      </c>
      <c r="P94" s="112"/>
      <c r="Q94" s="129">
        <f>IF(SP_SUL!O96="","*",SP_SUL!O96)</f>
        <v>0.3125</v>
      </c>
      <c r="R94" s="129">
        <f>IF(SP_SUL!P96="","*",SP_SUL!P96)</f>
        <v>4.1666666666666664E-2</v>
      </c>
      <c r="S94" s="111" t="str">
        <f>IF(SP_SUL!Q96="","*",CONCATENATE(SP_SUL!Q96," ",SP_SUL!R96))</f>
        <v>1 BINÁRIO</v>
      </c>
      <c r="T94" s="111" t="str">
        <f>IF(SP_SUL!V96="","*",SP_SUL!V96)</f>
        <v>Moisés</v>
      </c>
      <c r="U94" s="111" t="str">
        <f>IF(SP_SUL!W96="","*",SP_SUL!W96)</f>
        <v>Deslocamento e recolhimento das TP's na serra</v>
      </c>
      <c r="V94" s="113" t="str">
        <f ca="1">_xlfn.XLOOKUP(G94&amp;$V$2,BS_CONTROLE[CHAVE],BS_CONTROLE[Quantidade_11],"-")</f>
        <v>-</v>
      </c>
      <c r="W94" s="113">
        <f ca="1">_xlfn.XLOOKUP(G94&amp;$W$2,BS_CONTROLE[CHAVE],BS_CONTROLE[Quantidade_11],"-")</f>
        <v>1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Oportunidade</v>
      </c>
      <c r="C95" s="110" t="str">
        <f>IF(SP_SUL!Z97="","*",SP_SUL!Z97)</f>
        <v>*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EDSON (TP-719)</v>
      </c>
      <c r="H95" s="111" t="str">
        <f>IF(SP_SUL!F97="","*",SP_SUL!F97)</f>
        <v>PDM - ALÍVIO DE TENSÃO</v>
      </c>
      <c r="I95" s="111" t="str">
        <f>IF(SP_SUL!H97="","*",SP_SUL!H97)</f>
        <v>K96K952</v>
      </c>
      <c r="J95" s="111" t="str">
        <f>IF(SP_SUL!I97="","*",SP_SUL!I97)</f>
        <v>-</v>
      </c>
      <c r="K95" s="111" t="str">
        <f>IF(SP_SUL!M97="","*",SP_SUL!M97)</f>
        <v>ZWU-ZDC</v>
      </c>
      <c r="L95" s="111" t="str">
        <f>IF(SP_SUL!N97="","*",SP_SUL!N97)</f>
        <v>K96K952</v>
      </c>
      <c r="M95" s="112">
        <f>IF(SP_SUL!J97="","*",SP_SUL!J97)</f>
        <v>92</v>
      </c>
      <c r="N95" s="271">
        <f>IF(SP_SUL!K97="","*",SP_SUL!K97)</f>
        <v>95.5</v>
      </c>
      <c r="O95" s="271" t="str">
        <f>IF(SP_SUL!L97="","*",SP_SUL!L97)</f>
        <v>-</v>
      </c>
      <c r="P95" s="112"/>
      <c r="Q95" s="129">
        <f>IF(SP_SUL!O97="","*",SP_SUL!O97)</f>
        <v>0.41666666666666669</v>
      </c>
      <c r="R95" s="129">
        <f>IF(SP_SUL!P97="","*",SP_SUL!P97)</f>
        <v>6.25E-2</v>
      </c>
      <c r="S95" s="111" t="str">
        <f>IF(SP_SUL!Q97="","*",CONCATENATE(SP_SUL!Q97," ",SP_SUL!R97))</f>
        <v>300 M</v>
      </c>
      <c r="T95" s="111" t="str">
        <f>IF(SP_SUL!V97="","*",SP_SUL!V97)</f>
        <v>Moisés</v>
      </c>
      <c r="U95" s="111" t="str">
        <f>IF(SP_SUL!W97="","*",SP_SUL!W97)</f>
        <v>Alívio de tensão - Condicionado à temperatura</v>
      </c>
      <c r="V95" s="113">
        <f ca="1">_xlfn.XLOOKUP(G95&amp;$V$2,BS_CONTROLE[CHAVE],BS_CONTROLE[Quantidade_11],"-")</f>
        <v>0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Oportunidade</v>
      </c>
      <c r="C96" s="110" t="str">
        <f>IF(SP_SUL!Z98="","*",SP_SUL!Z98)</f>
        <v>*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LEANDRO (TP-727)</v>
      </c>
      <c r="H96" s="111" t="str">
        <f>IF(SP_SUL!F98="","*",SP_SUL!F98)</f>
        <v>PDM - SUBSTITUIÇÃO - TRILHO</v>
      </c>
      <c r="I96" s="111" t="str">
        <f>IF(SP_SUL!H98="","*",SP_SUL!H98)</f>
        <v>ZGP2</v>
      </c>
      <c r="J96" s="111" t="str">
        <f>IF(SP_SUL!I98="","*",SP_SUL!I98)</f>
        <v>-</v>
      </c>
      <c r="K96" s="111" t="str">
        <f>IF(SP_SUL!M98="","*",SP_SUL!M98)</f>
        <v>ZGP</v>
      </c>
      <c r="L96" s="111" t="str">
        <f>IF(SP_SUL!N98="","*",SP_SUL!N98)</f>
        <v>ZGP2</v>
      </c>
      <c r="M96" s="112">
        <f>IF(SP_SUL!J98="","*",SP_SUL!J98)</f>
        <v>92</v>
      </c>
      <c r="N96" s="271">
        <f>IF(SP_SUL!K98="","*",SP_SUL!K98)</f>
        <v>103.3</v>
      </c>
      <c r="O96" s="271" t="str">
        <f>IF(SP_SUL!L98="","*",SP_SUL!L98)</f>
        <v>-</v>
      </c>
      <c r="P96" s="112"/>
      <c r="Q96" s="129">
        <f>IF(SP_SUL!O98="","*",SP_SUL!O98)</f>
        <v>0.45833333333333331</v>
      </c>
      <c r="R96" s="129">
        <f>IF(SP_SUL!P98="","*",SP_SUL!P98)</f>
        <v>8.3333333333333329E-2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Substituição de trilho - Condicionado à temperatura (Local onde teve diversas ocorrências de fraturas no túnel 1)</v>
      </c>
      <c r="V96" s="113" t="str">
        <f ca="1">_xlfn.XLOOKUP(G96&amp;$V$2,BS_CONTROLE[CHAVE],BS_CONTROLE[Quantidade_11],"-")</f>
        <v>-</v>
      </c>
      <c r="W96" s="113">
        <f ca="1">_xlfn.XLOOKUP(G96&amp;$W$2,BS_CONTROLE[CHAVE],BS_CONTROLE[Quantidade_11],"-")</f>
        <v>312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SP SUL</v>
      </c>
      <c r="E98" s="111" t="str">
        <f>IF(SP_SUL!T100="","*",SP_SUL!T100)</f>
        <v>ZEV-ZPT</v>
      </c>
      <c r="F98" s="111">
        <f>IF(SP_SUL!B100="","*",SP_SUL!B100)</f>
        <v>45995</v>
      </c>
      <c r="G98" s="111" t="str">
        <f>IF(SP_SUL!D100="","*",SP_SUL!D100)</f>
        <v>A84</v>
      </c>
      <c r="H98" s="111" t="str">
        <f>IF(SP_SUL!F100="","*",SP_SUL!F100)</f>
        <v>DETECÇÃO - RONDA 7 DIAS</v>
      </c>
      <c r="I98" s="111" t="str">
        <f>IF(SP_SUL!H100="","*",SP_SUL!H100)</f>
        <v>ZPT1051</v>
      </c>
      <c r="J98" s="111" t="str">
        <f>IF(SP_SUL!I100="","*",SP_SUL!I100)</f>
        <v>ZEM1</v>
      </c>
      <c r="K98" s="111" t="str">
        <f>IF(SP_SUL!M100="","*",SP_SUL!M100)</f>
        <v>ZPT-ZEM</v>
      </c>
      <c r="L98" s="111" t="str">
        <f>IF(SP_SUL!N100="","*",SP_SUL!N100)</f>
        <v>ZPTZEM</v>
      </c>
      <c r="M98" s="112">
        <f>IF(SP_SUL!J100="","*",SP_SUL!J100)</f>
        <v>54</v>
      </c>
      <c r="N98" s="271">
        <f>IF(SP_SUL!K100="","*",SP_SUL!K100)</f>
        <v>105.5</v>
      </c>
      <c r="O98" s="271" t="str">
        <f>IF(SP_SUL!L100="","*",SP_SUL!L100)</f>
        <v>-</v>
      </c>
      <c r="P98" s="112"/>
      <c r="Q98" s="129">
        <f>IF(SP_SUL!O100="","*",SP_SUL!O100)</f>
        <v>0.3125</v>
      </c>
      <c r="R98" s="129">
        <f>IF(SP_SUL!P100="","*",SP_SUL!P100)</f>
        <v>4.1666666666666664E-2</v>
      </c>
      <c r="S98" s="111" t="str">
        <f>IF(SP_SUL!Q100="","*",CONCATENATE(SP_SUL!Q100," ",SP_SUL!R100))</f>
        <v>65 KM</v>
      </c>
      <c r="T98" s="111" t="str">
        <f>IF(SP_SUL!V100="","*",SP_SUL!V100)</f>
        <v>Benedito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Oportunidade</v>
      </c>
      <c r="C100" s="110" t="str">
        <f>IF(SP_SUL!Z102="","*",SP_SUL!Z102)</f>
        <v>*</v>
      </c>
      <c r="D100" s="111" t="str">
        <f>IF(SP_SUL!S102="","*",SP_SUL!S102)</f>
        <v>SP SUL</v>
      </c>
      <c r="E100" s="111" t="str">
        <f>IF(SP_SUL!T102="","*",SP_SUL!T102)</f>
        <v>ZEV-ZPT</v>
      </c>
      <c r="F100" s="111">
        <f>IF(SP_SUL!B102="","*",SP_SUL!B102)</f>
        <v>45995</v>
      </c>
      <c r="G100" s="111" t="str">
        <f>IF(SP_SUL!D102="","*",SP_SUL!D102)</f>
        <v>V85</v>
      </c>
      <c r="H100" s="111" t="str">
        <f>IF(SP_SUL!F102="","*",SP_SUL!F102)</f>
        <v>MECANIZAÇÃO - SOCADORA</v>
      </c>
      <c r="I100" s="111" t="str">
        <f>IF(SP_SUL!H102="","*",SP_SUL!H102)</f>
        <v>109ZPT2</v>
      </c>
      <c r="J100" s="111" t="str">
        <f>IF(SP_SUL!I102="","*",SP_SUL!I102)</f>
        <v>ZPTZDR</v>
      </c>
      <c r="K100" s="111" t="str">
        <f>IF(SP_SUL!M102="","*",SP_SUL!M102)</f>
        <v>ZGM1</v>
      </c>
      <c r="L100" s="111" t="str">
        <f>IF(SP_SUL!N102="","*",SP_SUL!N102)</f>
        <v>ZGM1</v>
      </c>
      <c r="M100" s="112">
        <f>IF(SP_SUL!J102="","*",SP_SUL!J102)</f>
        <v>30</v>
      </c>
      <c r="N100" s="271">
        <f>IF(SP_SUL!K102="","*",SP_SUL!K102)</f>
        <v>114.3</v>
      </c>
      <c r="O100" s="271">
        <f>IF(SP_SUL!L102="","*",SP_SUL!L102)</f>
        <v>115</v>
      </c>
      <c r="P100" s="112"/>
      <c r="Q100" s="129">
        <f>IF(SP_SUL!O102="","*",SP_SUL!O102)</f>
        <v>0.35416666666666669</v>
      </c>
      <c r="R100" s="129">
        <f>IF(SP_SUL!P102="","*",SP_SUL!P102)</f>
        <v>8.3333333333333329E-2</v>
      </c>
      <c r="S100" s="111" t="str">
        <f>IF(SP_SUL!Q102="","*",CONCATENATE(SP_SUL!Q102," ",SP_SUL!R102))</f>
        <v>700 M</v>
      </c>
      <c r="T100" s="111" t="str">
        <f>IF(SP_SUL!V102="","*",SP_SUL!V102)</f>
        <v>Saulo</v>
      </c>
      <c r="U100" s="111" t="str">
        <f>IF(SP_SUL!W102="","*",SP_SUL!W102)</f>
        <v>Serviços de socaria mecanizada</v>
      </c>
      <c r="V100" s="113">
        <f ca="1">_xlfn.XLOOKUP(G100&amp;$V$2,BS_CONTROLE[CHAVE],BS_CONTROLE[Quantidade_11],"-")</f>
        <v>0</v>
      </c>
      <c r="W100" s="113">
        <f ca="1">_xlfn.XLOOKUP(G100&amp;$W$2,BS_CONTROLE[CHAVE],BS_CONTROLE[Quantidade_11],"-")</f>
        <v>0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Oportunidade</v>
      </c>
      <c r="C101" s="110" t="str">
        <f>IF(SP_SUL!Z103="","*",SP_SUL!Z103)</f>
        <v>*</v>
      </c>
      <c r="D101" s="111" t="str">
        <f>IF(SP_SUL!S103="","*",SP_SUL!S103)</f>
        <v>SP SUL</v>
      </c>
      <c r="E101" s="111" t="str">
        <f>IF(SP_SUL!T103="","*",SP_SUL!T103)</f>
        <v>ZPT-ZPG</v>
      </c>
      <c r="F101" s="111">
        <f>IF(SP_SUL!B103="","*",SP_SUL!B103)</f>
        <v>45995</v>
      </c>
      <c r="G101" s="111" t="str">
        <f>IF(SP_SUL!D103="","*",SP_SUL!D103)</f>
        <v>DIEGO (TF-42)</v>
      </c>
      <c r="H101" s="111" t="str">
        <f>IF(SP_SUL!F103="","*",SP_SUL!F103)</f>
        <v>LIMPEZA LASTRO</v>
      </c>
      <c r="I101" s="111" t="str">
        <f>IF(SP_SUL!H103="","*",SP_SUL!H103)</f>
        <v>-</v>
      </c>
      <c r="J101" s="111" t="str">
        <f>IF(SP_SUL!I103="","*",SP_SUL!I103)</f>
        <v>-</v>
      </c>
      <c r="K101" s="111" t="str">
        <f>IF(SP_SUL!M103="","*",SP_SUL!M103)</f>
        <v>ZGM-109</v>
      </c>
      <c r="L101" s="111" t="str">
        <f>IF(SP_SUL!N103="","*",SP_SUL!N103)</f>
        <v>117ZGM2</v>
      </c>
      <c r="M101" s="112">
        <f>IF(SP_SUL!J103="","*",SP_SUL!J103)</f>
        <v>53</v>
      </c>
      <c r="N101" s="271">
        <f>IF(SP_SUL!K103="","*",SP_SUL!K103)</f>
        <v>115.5</v>
      </c>
      <c r="O101" s="271" t="str">
        <f>IF(SP_SUL!L103="","*",SP_SUL!L103)</f>
        <v>-</v>
      </c>
      <c r="P101" s="112"/>
      <c r="Q101" s="129">
        <f>IF(SP_SUL!O103="","*",SP_SUL!O103)</f>
        <v>0.45833333333333331</v>
      </c>
      <c r="R101" s="129">
        <f>IF(SP_SUL!P103="","*",SP_SUL!P103)</f>
        <v>8.3333333333333329E-2</v>
      </c>
      <c r="S101" s="111" t="str">
        <f>IF(SP_SUL!Q103="","*",CONCATENATE(SP_SUL!Q103," ",SP_SUL!R103))</f>
        <v>2 M</v>
      </c>
      <c r="T101" s="111" t="str">
        <f>IF(SP_SUL!V103="","*",SP_SUL!V103)</f>
        <v>Moisés</v>
      </c>
      <c r="U101" s="111" t="str">
        <f>IF(SP_SUL!W103="","*",SP_SUL!W103)</f>
        <v xml:space="preserve">Limpeza de lastro </v>
      </c>
      <c r="V101" s="113">
        <f ca="1">_xlfn.XLOOKUP(G101&amp;$V$2,BS_CONTROLE[CHAVE],BS_CONTROLE[Quantidade_11],"-")</f>
        <v>0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1129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1130</v>
      </c>
      <c r="C2" s="96" t="s">
        <v>854</v>
      </c>
      <c r="D2" s="96" t="s">
        <v>856</v>
      </c>
      <c r="E2" s="96" t="s">
        <v>1131</v>
      </c>
      <c r="F2" s="96" t="s">
        <v>1132</v>
      </c>
      <c r="G2" s="96" t="s">
        <v>1133</v>
      </c>
      <c r="H2" s="96" t="s">
        <v>1134</v>
      </c>
      <c r="I2" s="96" t="s">
        <v>1135</v>
      </c>
      <c r="J2" s="96" t="s">
        <v>1136</v>
      </c>
      <c r="K2" s="132" t="s">
        <v>1137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>
        <f>IF(SP_SUL!B89="","*",SP_SUL!B89)</f>
        <v>45995</v>
      </c>
      <c r="D87" s="122" t="str">
        <f>IF(SP_SUL!D89="","*",SP_SUL!D89)</f>
        <v>ADENILSON (TP-512)</v>
      </c>
      <c r="E87" s="122" t="str">
        <f>IF(SP_SUL!H89="","*",SP_SUL!H89)</f>
        <v>-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 hidden="1">
      <c r="B88" s="121" t="str">
        <f>IF(SP_SUL!Y90="","*",SP_SUL!Y90)</f>
        <v>*</v>
      </c>
      <c r="C88" s="122">
        <f>IF(SP_SUL!B90="","*",SP_SUL!B90)</f>
        <v>45995</v>
      </c>
      <c r="D88" s="122" t="str">
        <f>IF(SP_SUL!D90="","*",SP_SUL!D90)</f>
        <v>CAIQUE (TP-869)</v>
      </c>
      <c r="E88" s="122" t="str">
        <f>IF(SP_SUL!H90="","*",SP_SUL!H90)</f>
        <v>-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 hidden="1">
      <c r="B89" s="121" t="str">
        <f>IF(SP_SUL!Y91="","*",SP_SUL!Y91)</f>
        <v>*</v>
      </c>
      <c r="C89" s="122">
        <f>IF(SP_SUL!B91="","*",SP_SUL!B91)</f>
        <v>45995</v>
      </c>
      <c r="D89" s="122" t="str">
        <f>IF(SP_SUL!D91="","*",SP_SUL!D91)</f>
        <v>MATEUS (TP-809)</v>
      </c>
      <c r="E89" s="122" t="str">
        <f>IF(SP_SUL!H91="","*",SP_SUL!H91)</f>
        <v>*</v>
      </c>
      <c r="F89" s="138" t="str">
        <f>IF(SP_SUL!M91="","*",SP_SUL!M91)</f>
        <v>ZWI-ZYQ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>
        <f>IF(SP_SUL!B93="","*",SP_SUL!B93)</f>
        <v>45995</v>
      </c>
      <c r="D91" s="122" t="str">
        <f>IF(SP_SUL!D93="","*",SP_SUL!D93)</f>
        <v>FRANCENILDO (TF-513)</v>
      </c>
      <c r="E91" s="122" t="str">
        <f>IF(SP_SUL!H93="","*",SP_SUL!H93)</f>
        <v>ZMS1402</v>
      </c>
      <c r="F91" s="138" t="str">
        <f>IF(SP_SUL!M93="","*",SP_SUL!M93)</f>
        <v>ZEM-ZEJ</v>
      </c>
      <c r="G91" s="122" t="str">
        <f>IF(SP_SUL!I93="","*",SP_SUL!I93)</f>
        <v>-</v>
      </c>
      <c r="H91" s="122" t="str">
        <f>IF(SP_SUL!AB93="","*",SP_SUL!AB93)</f>
        <v>-</v>
      </c>
      <c r="I91" s="122" t="str">
        <f>IF(SP_SUL!AC93="","*",SP_SUL!AC93)</f>
        <v>-</v>
      </c>
      <c r="J91" s="123" t="str">
        <f>IF(SP_SUL!AA93="","*",SP_SUL!AA93)</f>
        <v>-</v>
      </c>
      <c r="K91" s="135" t="str">
        <f>IF(SP_SUL!AD93="","*",SP_SUL!AD93)</f>
        <v>-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>
        <f>IF(SP_SUL!B95="","*",SP_SUL!B95)</f>
        <v>45995</v>
      </c>
      <c r="D93" s="122" t="str">
        <f>IF(SP_SUL!D95="","*",SP_SUL!D95)</f>
        <v>HUELTON (TP-725)</v>
      </c>
      <c r="E93" s="122" t="str">
        <f>IF(SP_SUL!H95="","*",SP_SUL!H95)</f>
        <v>K69K671</v>
      </c>
      <c r="F93" s="138" t="str">
        <f>IF(SP_SUL!M95="","*",SP_SUL!M95)</f>
        <v>069-ZEV</v>
      </c>
      <c r="G93" s="122" t="str">
        <f>IF(SP_SUL!I95="","*",SP_SUL!I95)</f>
        <v>-</v>
      </c>
      <c r="H93" s="122" t="str">
        <f>IF(SP_SUL!AB95="","*",SP_SUL!AB95)</f>
        <v>-</v>
      </c>
      <c r="I93" s="122" t="str">
        <f>IF(SP_SUL!AC95="","*",SP_SUL!AC95)</f>
        <v>-</v>
      </c>
      <c r="J93" s="123" t="str">
        <f>IF(SP_SUL!AA95="","*",SP_SUL!AA95)</f>
        <v>-</v>
      </c>
      <c r="K93" s="135" t="str">
        <f>IF(SP_SUL!AD95="","*",SP_SUL!AD95)</f>
        <v>-</v>
      </c>
    </row>
    <row r="94" spans="2:11" s="124" customFormat="1" hidden="1">
      <c r="B94" s="121" t="str">
        <f>IF(SP_SUL!Y96="","*",SP_SUL!Y96)</f>
        <v>*</v>
      </c>
      <c r="C94" s="122">
        <f>IF(SP_SUL!B96="","*",SP_SUL!B96)</f>
        <v>45995</v>
      </c>
      <c r="D94" s="122" t="str">
        <f>IF(SP_SUL!D96="","*",SP_SUL!D96)</f>
        <v>W61</v>
      </c>
      <c r="E94" s="122" t="str">
        <f>IF(SP_SUL!H96="","*",SP_SUL!H96)</f>
        <v>Z3VZEV</v>
      </c>
      <c r="F94" s="138" t="str">
        <f>IF(SP_SUL!M96="","*",SP_SUL!M96)</f>
        <v>ZEV-ZXW</v>
      </c>
      <c r="G94" s="122" t="str">
        <f>IF(SP_SUL!I96="","*",SP_SUL!I96)</f>
        <v>K67ZEV1</v>
      </c>
      <c r="H94" s="122" t="str">
        <f>IF(SP_SUL!AB96="","*",SP_SUL!AB96)</f>
        <v>FIXO</v>
      </c>
      <c r="I94" s="122" t="str">
        <f>IF(SP_SUL!AC96="","*",SP_SUL!AC96)</f>
        <v>ACIONAMENTO</v>
      </c>
      <c r="J94" s="123" t="str">
        <f>IF(SP_SUL!AA96="","*",SP_SUL!AA96)</f>
        <v>1 Celso</v>
      </c>
      <c r="K94" s="135">
        <f>IF(SP_SUL!AD96="","*",SP_SUL!AD96)</f>
        <v>0.27083333333333331</v>
      </c>
    </row>
    <row r="95" spans="2:11" s="124" customFormat="1" hidden="1">
      <c r="B95" s="121" t="str">
        <f>IF(SP_SUL!Y97="","*",SP_SUL!Y97)</f>
        <v>*</v>
      </c>
      <c r="C95" s="122">
        <f>IF(SP_SUL!B97="","*",SP_SUL!B97)</f>
        <v>45995</v>
      </c>
      <c r="D95" s="122" t="str">
        <f>IF(SP_SUL!D97="","*",SP_SUL!D97)</f>
        <v>EDSON (TP-719)</v>
      </c>
      <c r="E95" s="122" t="str">
        <f>IF(SP_SUL!H97="","*",SP_SUL!H97)</f>
        <v>K96K952</v>
      </c>
      <c r="F95" s="138" t="str">
        <f>IF(SP_SUL!M97="","*",SP_SUL!M97)</f>
        <v>ZWU-ZDC</v>
      </c>
      <c r="G95" s="122" t="str">
        <f>IF(SP_SUL!I97="","*",SP_SUL!I97)</f>
        <v>-</v>
      </c>
      <c r="H95" s="122" t="str">
        <f>IF(SP_SUL!AB97="","*",SP_SUL!AB97)</f>
        <v>-</v>
      </c>
      <c r="I95" s="122" t="str">
        <f>IF(SP_SUL!AC97="","*",SP_SUL!AC97)</f>
        <v>-</v>
      </c>
      <c r="J95" s="123" t="str">
        <f>IF(SP_SUL!AA97="","*",SP_SUL!AA97)</f>
        <v>-</v>
      </c>
      <c r="K95" s="135" t="str">
        <f>IF(SP_SUL!AD97="","*",SP_SUL!AD97)</f>
        <v>-</v>
      </c>
    </row>
    <row r="96" spans="2:11" s="124" customFormat="1" hidden="1">
      <c r="B96" s="121" t="str">
        <f>IF(SP_SUL!Y98="","*",SP_SUL!Y98)</f>
        <v>*</v>
      </c>
      <c r="C96" s="122">
        <f>IF(SP_SUL!B98="","*",SP_SUL!B98)</f>
        <v>45995</v>
      </c>
      <c r="D96" s="122" t="str">
        <f>IF(SP_SUL!D98="","*",SP_SUL!D98)</f>
        <v>LEANDRO (TP-727)</v>
      </c>
      <c r="E96" s="122" t="str">
        <f>IF(SP_SUL!H98="","*",SP_SUL!H98)</f>
        <v>ZGP2</v>
      </c>
      <c r="F96" s="138" t="str">
        <f>IF(SP_SUL!M98="","*",SP_SUL!M98)</f>
        <v>ZGP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>
        <f>IF(SP_SUL!B100="","*",SP_SUL!B100)</f>
        <v>45995</v>
      </c>
      <c r="D98" s="122" t="str">
        <f>IF(SP_SUL!D100="","*",SP_SUL!D100)</f>
        <v>A84</v>
      </c>
      <c r="E98" s="122" t="str">
        <f>IF(SP_SUL!H100="","*",SP_SUL!H100)</f>
        <v>ZPT1051</v>
      </c>
      <c r="F98" s="138" t="str">
        <f>IF(SP_SUL!M100="","*",SP_SUL!M100)</f>
        <v>ZPT-ZEM</v>
      </c>
      <c r="G98" s="122" t="str">
        <f>IF(SP_SUL!I100="","*",SP_SUL!I100)</f>
        <v>ZEM1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>
        <f>IF(SP_SUL!B102="","*",SP_SUL!B102)</f>
        <v>45995</v>
      </c>
      <c r="D100" s="122" t="str">
        <f>IF(SP_SUL!D102="","*",SP_SUL!D102)</f>
        <v>V85</v>
      </c>
      <c r="E100" s="122" t="str">
        <f>IF(SP_SUL!H102="","*",SP_SUL!H102)</f>
        <v>109ZPT2</v>
      </c>
      <c r="F100" s="138" t="str">
        <f>IF(SP_SUL!M102="","*",SP_SUL!M102)</f>
        <v>ZGM1</v>
      </c>
      <c r="G100" s="122" t="str">
        <f>IF(SP_SUL!I102="","*",SP_SUL!I102)</f>
        <v>ZPTZDR</v>
      </c>
      <c r="H100" s="122" t="str">
        <f>IF(SP_SUL!AB102="","*",SP_SUL!AB102)</f>
        <v>FIXO</v>
      </c>
      <c r="I100" s="122" t="str">
        <f>IF(SP_SUL!AC102="","*",SP_SUL!AC102)</f>
        <v>ACIONAMENTO</v>
      </c>
      <c r="J100" s="123">
        <f>IF(SP_SUL!AA102="","*",SP_SUL!AA102)</f>
        <v>1</v>
      </c>
      <c r="K100" s="135">
        <f>IF(SP_SUL!AD102="","*",SP_SUL!AD102)</f>
        <v>0.25</v>
      </c>
    </row>
    <row r="101" spans="2:11" s="124" customFormat="1" hidden="1">
      <c r="B101" s="121" t="str">
        <f>IF(SP_SUL!Y103="","*",SP_SUL!Y103)</f>
        <v>*</v>
      </c>
      <c r="C101" s="122">
        <f>IF(SP_SUL!B103="","*",SP_SUL!B103)</f>
        <v>45995</v>
      </c>
      <c r="D101" s="122" t="str">
        <f>IF(SP_SUL!D103="","*",SP_SUL!D103)</f>
        <v>DIEGO (TF-42)</v>
      </c>
      <c r="E101" s="122" t="str">
        <f>IF(SP_SUL!H103="","*",SP_SUL!H103)</f>
        <v>-</v>
      </c>
      <c r="F101" s="138" t="str">
        <f>IF(SP_SUL!M103="","*",SP_SUL!M103)</f>
        <v>ZGM-109</v>
      </c>
      <c r="G101" s="122" t="str">
        <f>IF(SP_SUL!I103="","*",SP_SUL!I103)</f>
        <v>-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2025-12-03T17:36:44Z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