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80" documentId="8_{B6337239-1A00-434D-AAD0-422EA1FEB5AE}" xr6:coauthVersionLast="47" xr6:coauthVersionMax="47" xr10:uidLastSave="{D44A53BE-411E-4CAE-BF8D-EB814D47BDA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L117" i="12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L119" i="12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0" i="1" l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<sst xmlns="http://schemas.openxmlformats.org/spreadsheetml/2006/main" count="5095" uniqueCount="1397">
  <si>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</si>
  <si>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</si>
  <si>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</si>
  <si>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</si>
  <si>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</si>
  <si>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</si>
  <si>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</si>
  <si>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</si>
  <si>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</si>
  <si>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</si>
  <si>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</si>
  <si>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</si>
  <si>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</si>
  <si>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</si>
  <si>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</si>
  <si>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</si>
  <si>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</si>
  <si>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</si>
  <si>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</si>
  <si>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</si>
  <si>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</si>
  <si>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</si>
  <si>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</si>
  <si>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</si>
  <si>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</si>
  <si>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</si>
  <si>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</si>
  <si>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</si>
  <si>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</si>
  <si>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</si>
  <si>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</si>
  <si>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</si>
  <si>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</si>
  <si>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</si>
  <si>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</si>
  <si>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</si>
  <si>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</si>
  <si>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</si>
  <si>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</si>
  <si>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</si>
  <si>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</si>
  <si>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</si>
  <si>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</si>
  <si>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</si>
  <si>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</si>
  <si>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</si>
  <si>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</si>
  <si>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</si>
  <si>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</si>
  <si>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</si>
  <si>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</si>
  <si>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</si>
  <si>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</si>
  <si>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</si>
  <si>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</si>
  <si>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</si>
  <si>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</si>
  <si>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</si>
  <si>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</si>
  <si>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</si>
  <si>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</si>
  <si>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</si>
  <si>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</si>
  <si>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</si>
  <si>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</si>
  <si>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</si>
  <si>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</si>
  <si>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</si>
  <si>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</si>
  <si>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</si>
  <si>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</si>
  <si>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</si>
  <si>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</si>
  <si>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</si>
  <si>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</si>
  <si>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</si>
  <si>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</si>
  <si>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</si>
  <si>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</si>
  <si>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</si>
  <si>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</si>
  <si>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</si>
  <si>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</si>
  <si>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</si>
  <si>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</si>
  <si>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</si>
  <si>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</si>
  <si>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</si>
  <si>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</si>
  <si>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</si>
  <si>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</si>
  <si>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</si>
  <si>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</si>
  <si>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</si>
  <si>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</si>
  <si>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</si>
  <si>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</si>
  <si>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</si>
  <si>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</si>
  <si>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</si>
  <si>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</si>
  <si>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</si>
  <si>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</si>
  <si>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</si>
  <si>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</si>
  <si>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</si>
  <si>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</si>
  <si>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</si>
  <si>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</si>
  <si>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</si>
  <si>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</si>
  <si>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</si>
  <si>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</si>
  <si>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</si>
  <si>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</si>
  <si>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</si>
  <si>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</si>
  <si>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</si>
  <si>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</si>
  <si>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</si>
  <si>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</si>
  <si>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</si>
  <si>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</si>
  <si>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</si>
  <si>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</si>
  <si>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</si>
  <si>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</si>
  <si>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</si>
  <si>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</si>
  <si>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</si>
  <si>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</si>
  <si>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</si>
  <si>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</si>
  <si>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</si>
  <si>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</si>
  <si>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</si>
  <si>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</si>
  <si>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</si>
  <si>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</si>
  <si>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</si>
  <si>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</si>
  <si>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</si>
  <si>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</si>
  <si>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</si>
  <si>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</si>
  <si>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</si>
  <si>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</si>
  <si>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</si>
  <si>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</si>
  <si>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</si>
  <si>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</si>
  <si>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</si>
  <si>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</si>
  <si>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</si>
  <si>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</si>
  <si>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</si>
  <si>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</si>
  <si>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</si>
  <si>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</si>
  <si>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</si>
  <si>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</si>
  <si>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</si>
  <si>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</si>
  <si>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</si>
  <si>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</si>
  <si>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</si>
  <si>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</si>
  <si>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</si>
  <si>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</si>
  <si>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</si>
  <si>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</si>
  <si>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</si>
  <si>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</si>
  <si>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</si>
  <si>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</si>
  <si>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</si>
  <si>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</si>
  <si>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</si>
  <si>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</si>
  <si>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</si>
  <si>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</si>
  <si>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</si>
  <si>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</si>
  <si>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</si>
  <si>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</si>
  <si>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</si>
  <si>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</si>
  <si>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</si>
  <si>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</si>
  <si>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</si>
  <si>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</si>
  <si>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</si>
  <si>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</si>
  <si>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</si>
  <si>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</si>
  <si>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</si>
  <si>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</si>
  <si>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</si>
  <si>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</si>
  <si>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</si>
  <si>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</si>
  <si>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</si>
  <si>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</si>
  <si>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</si>
  <si>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</si>
  <si>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</si>
  <si>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</si>
  <si>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</si>
  <si>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</si>
  <si>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</si>
  <si>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</si>
  <si>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</si>
  <si>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</si>
  <si>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</si>
  <si>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</si>
  <si>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</si>
  <si>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</si>
  <si>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</si>
  <si>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</si>
  <si>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</si>
  <si>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</si>
  <si>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</si>
  <si>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</si>
  <si>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</si>
  <si>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</si>
  <si>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</si>
  <si>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</si>
  <si>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</si>
  <si>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</si>
  <si>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</si>
  <si>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</si>
  <si>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</si>
  <si>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</si>
  <si>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</si>
  <si>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</si>
  <si>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</si>
  <si>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</si>
  <si>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</si>
  <si>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</si>
  <si>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</si>
  <si>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</si>
  <si>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</si>
  <si>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</si>
  <si>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</si>
  <si>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</si>
  <si>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</si>
  <si>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</si>
  <si>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</si>
  <si>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</si>
  <si>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</si>
  <si>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</si>
  <si>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</si>
  <si>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</si>
  <si>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</si>
  <si>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</si>
  <si>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</si>
  <si>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</si>
  <si>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</si>
  <si>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</si>
  <si>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</si>
  <si>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</si>
  <si>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</si>
  <si>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</si>
  <si>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</si>
  <si>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</si>
  <si>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</si>
  <si>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</si>
  <si>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</si>
  <si>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</si>
  <si>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</si>
  <si>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</si>
  <si>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</si>
  <si>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</si>
  <si>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</si>
  <si>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</si>
  <si>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</si>
  <si>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</si>
  <si>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</si>
  <si>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</si>
  <si>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</si>
  <si>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</si>
  <si>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</si>
  <si>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</si>
  <si>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</si>
  <si>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</si>
  <si>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</si>
  <si>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</si>
  <si>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</si>
  <si>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</si>
  <si>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</si>
  <si>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</si>
  <si>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</si>
  <si>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</si>
  <si>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</si>
  <si>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</si>
  <si>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</si>
  <si>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</si>
  <si>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</si>
  <si>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</si>
  <si>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</si>
  <si>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</si>
  <si>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</si>
  <si>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</si>
  <si>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</si>
  <si>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</si>
  <si>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</si>
  <si>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</si>
  <si>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</si>
  <si>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</si>
  <si>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</si>
  <si>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</si>
  <si>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</si>
  <si>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</si>
  <si>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</si>
  <si>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</si>
  <si>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</si>
  <si>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</si>
  <si>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</si>
  <si>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</si>
  <si>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</si>
  <si>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</si>
  <si>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</si>
  <si>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</si>
  <si>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</si>
  <si>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</si>
  <si>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</si>
  <si>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</si>
  <si>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</si>
  <si>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</si>
  <si>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</si>
  <si>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</si>
  <si>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</si>
  <si>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</si>
  <si>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</si>
  <si>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</si>
  <si>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</si>
  <si>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</si>
  <si>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</si>
  <si>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</si>
  <si>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</si>
  <si>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</si>
  <si>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</si>
  <si>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</si>
  <si>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</si>
  <si>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</si>
  <si>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</si>
  <si>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</si>
  <si>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</si>
  <si>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</si>
  <si>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</si>
  <si>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</si>
  <si>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</si>
  <si>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</si>
  <si>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</si>
  <si>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</si>
  <si>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</si>
  <si>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</si>
  <si>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</si>
  <si>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</si>
  <si>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</si>
  <si>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</si>
  <si>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</si>
  <si>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</si>
  <si>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</si>
  <si>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</si>
  <si>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</si>
  <si>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</si>
  <si>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</si>
  <si>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</si>
  <si>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</si>
  <si>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</si>
  <si>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</si>
  <si>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</si>
  <si>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</si>
  <si>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</si>
  <si>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</si>
  <si>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</si>
  <si>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</si>
  <si>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</si>
  <si>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</si>
  <si>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</si>
  <si>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</si>
  <si>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</si>
  <si>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</si>
  <si>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</si>
  <si>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</si>
  <si>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</si>
  <si>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</si>
  <si>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</si>
  <si>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</si>
  <si>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</si>
  <si>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</si>
  <si>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</si>
  <si>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</si>
  <si>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</si>
  <si>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</si>
  <si>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</si>
  <si>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</si>
  <si>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</si>
  <si>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</si>
  <si>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</si>
  <si>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</si>
  <si>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</si>
  <si>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</si>
  <si>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</si>
  <si>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</si>
  <si>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</si>
  <si>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</si>
  <si>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</si>
  <si>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</si>
  <si>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</si>
  <si>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</si>
  <si>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</si>
  <si>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</si>
  <si>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</si>
  <si>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</si>
  <si>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</si>
  <si>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</si>
  <si>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</si>
  <si>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</si>
  <si>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</si>
  <si>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</si>
  <si>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</si>
  <si>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</si>
  <si>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</si>
  <si>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</si>
  <si>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</si>
  <si>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</si>
  <si>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</si>
  <si>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</si>
  <si>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</si>
  <si>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</si>
  <si>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</si>
  <si>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</si>
  <si>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</si>
  <si>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</si>
  <si>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</si>
  <si>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</si>
  <si>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</si>
  <si>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</si>
  <si>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</si>
  <si>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</si>
  <si>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</si>
  <si>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</si>
  <si>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</si>
  <si>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</si>
  <si>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</si>
  <si>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</si>
  <si>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</si>
  <si>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</si>
  <si>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</si>
  <si>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</si>
  <si>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</si>
  <si>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</si>
  <si>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</si>
  <si>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</si>
  <si>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</si>
  <si>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</si>
  <si>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</si>
  <si>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</si>
  <si>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</si>
  <si>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</si>
  <si>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</si>
  <si>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</si>
  <si>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</si>
  <si>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</si>
  <si>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</si>
  <si>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</si>
  <si>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</si>
  <si>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</si>
  <si>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</si>
  <si>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</si>
  <si>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</si>
  <si>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</si>
  <si>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</si>
  <si>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</si>
  <si>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</si>
  <si>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</si>
  <si>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</si>
  <si>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</si>
  <si>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</si>
  <si>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</si>
  <si>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</si>
  <si>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</si>
  <si>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</si>
  <si>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</si>
  <si>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</si>
  <si>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</si>
  <si>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</si>
  <si>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</si>
  <si>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</si>
  <si>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</si>
  <si>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</si>
  <si>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</si>
  <si>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</si>
  <si>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</si>
  <si>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</si>
  <si>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</si>
  <si>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</si>
  <si>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</si>
  <si>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</si>
  <si>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</si>
  <si>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</si>
  <si>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</si>
  <si>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</si>
  <si>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</si>
  <si>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</si>
  <si>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</si>
  <si>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</si>
  <si>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</si>
  <si>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</si>
  <si>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</si>
  <si>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</si>
  <si>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</si>
  <si>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</si>
  <si>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</si>
  <si>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</si>
  <si>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</si>
  <si>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</si>
  <si>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</si>
  <si>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</si>
  <si>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</si>
  <si>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</si>
  <si>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</si>
  <si>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</si>
  <si>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</si>
  <si>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</si>
  <si>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</si>
  <si>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</si>
  <si>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</si>
  <si>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</si>
  <si>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</si>
  <si>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</si>
  <si>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</si>
  <si>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</si>
  <si>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</si>
  <si>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</si>
  <si>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</si>
  <si>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</si>
  <si>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</si>
  <si>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</si>
  <si>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</si>
  <si>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</si>
  <si>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</si>
  <si>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</si>
  <si>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</si>
  <si>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</si>
  <si>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</si>
  <si>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</si>
  <si>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</si>
  <si>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</si>
  <si>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</si>
  <si>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</si>
  <si>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</si>
  <si>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</si>
  <si>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</si>
  <si>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</si>
  <si>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</si>
  <si>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</si>
  <si>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</si>
  <si>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</si>
  <si>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</si>
  <si>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</si>
  <si>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</si>
  <si>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</si>
  <si>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</si>
  <si>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</si>
  <si>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</si>
  <si>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</si>
  <si>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</si>
  <si>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</si>
  <si>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</si>
  <si>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</si>
  <si>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</si>
  <si>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</si>
  <si>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</si>
  <si>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</si>
  <si>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</si>
  <si>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</si>
  <si>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</si>
  <si>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</si>
  <si>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</si>
  <si>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</si>
  <si>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</si>
  <si>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</si>
  <si>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</si>
  <si>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</si>
  <si>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</si>
  <si>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</si>
  <si>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</si>
  <si>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</si>
  <si>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</si>
  <si>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</si>
  <si>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</si>
  <si>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</si>
  <si>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</si>
  <si>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</si>
  <si>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</si>
  <si>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</si>
  <si>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</si>
  <si>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</si>
  <si>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</si>
  <si>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</si>
  <si>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</si>
  <si>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</si>
  <si>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</si>
  <si>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</si>
  <si>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</si>
  <si>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</si>
  <si>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</si>
  <si>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</si>
  <si>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</si>
  <si>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</si>
  <si>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</si>
  <si>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</si>
  <si>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</si>
  <si>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</si>
  <si>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</si>
  <si>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</si>
  <si>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</si>
  <si>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</si>
  <si>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</si>
  <si>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</si>
  <si>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</si>
  <si>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</si>
  <si>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</si>
  <si>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</si>
  <si>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</si>
  <si>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</si>
  <si>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</si>
  <si>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</si>
  <si>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</si>
  <si>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</si>
  <si>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</si>
  <si>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</si>
  <si>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</si>
  <si>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</si>
  <si>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</si>
  <si>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</si>
  <si>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</si>
  <si>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</si>
  <si>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</si>
  <si>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</si>
  <si>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</si>
  <si>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</si>
  <si>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</si>
  <si>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</si>
  <si>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</si>
  <si>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</si>
  <si>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</si>
  <si>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</si>
  <si>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</si>
  <si>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</si>
  <si>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</si>
  <si>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</si>
  <si>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</si>
  <si>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</si>
  <si>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</si>
  <si>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</si>
  <si>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</si>
  <si>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</si>
  <si>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</si>
  <si>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</si>
  <si>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</si>
  <si>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</si>
  <si>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</si>
  <si>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</si>
  <si>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</si>
  <si>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</si>
  <si>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</si>
  <si>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</si>
  <si>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</si>
  <si>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</si>
  <si>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</si>
  <si>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</si>
  <si>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</si>
  <si>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</si>
  <si>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</si>
  <si>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</si>
  <si>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</si>
  <si>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</si>
  <si>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</si>
  <si>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</si>
  <si>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</si>
  <si>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</si>
  <si>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</si>
  <si>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</si>
  <si>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</si>
  <si>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</si>
  <si>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</si>
  <si>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</si>
  <si>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</si>
  <si>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</si>
  <si>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</si>
  <si>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</si>
  <si>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</si>
  <si>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</si>
  <si>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</si>
  <si>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</si>
  <si>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</si>
  <si>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</si>
  <si>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</si>
  <si>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</si>
  <si>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</si>
  <si>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</si>
  <si>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</si>
  <si>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</si>
  <si>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</si>
  <si>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</si>
  <si>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</si>
  <si>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</si>
  <si>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</si>
  <si>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</si>
  <si>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</si>
  <si>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</si>
  <si>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</si>
  <si>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</si>
  <si>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</si>
  <si>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</si>
  <si>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</si>
  <si>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</si>
  <si>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</si>
  <si>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</si>
  <si>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</si>
  <si>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</si>
  <si>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</si>
  <si>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</si>
  <si>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</si>
  <si>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</si>
  <si>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</si>
  <si>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</si>
  <si>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</si>
  <si>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</si>
  <si>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</si>
  <si>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</si>
  <si>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</si>
  <si>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</si>
  <si>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</si>
  <si>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</si>
  <si>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</si>
  <si>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</si>
  <si>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</si>
  <si>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</si>
  <si>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</si>
  <si>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</si>
  <si>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</si>
  <si>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</si>
  <si>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</si>
  <si>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</si>
  <si>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</si>
  <si>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</si>
  <si>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</si>
  <si>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</si>
  <si>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</si>
  <si>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</si>
  <si>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</si>
  <si>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</si>
  <si>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</si>
  <si>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</si>
  <si>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</si>
  <si>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</si>
  <si>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</si>
  <si>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</si>
  <si>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</si>
  <si>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</si>
  <si>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</si>
  <si>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</si>
  <si>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</si>
  <si>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</si>
  <si>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</si>
  <si>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</si>
  <si>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</si>
  <si>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</si>
  <si>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</si>
  <si>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</si>
  <si>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</si>
  <si>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</si>
  <si>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</si>
  <si>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</si>
  <si>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</si>
  <si>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</si>
  <si>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</si>
  <si>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</si>
  <si>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</si>
  <si>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</si>
  <si>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</si>
  <si>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</si>
  <si>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</si>
  <si>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</si>
  <si>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</si>
  <si>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</si>
  <si>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</si>
  <si>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</si>
  <si>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</si>
  <si>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</si>
  <si>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</si>
  <si>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</si>
  <si>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</si>
  <si>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</si>
  <si>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</si>
  <si>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</si>
  <si>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</si>
  <si>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</si>
  <si>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</si>
  <si>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</si>
  <si>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</si>
  <si>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</si>
  <si>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</si>
  <si>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</si>
  <si>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</si>
  <si>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</si>
  <si>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</si>
  <si>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</si>
  <si>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</si>
  <si>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</si>
  <si>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</si>
  <si>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</si>
  <si>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</si>
  <si>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</si>
  <si>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</si>
  <si>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</si>
  <si>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</si>
  <si>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</si>
  <si>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</si>
  <si>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</si>
  <si>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</si>
  <si>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</si>
  <si>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</si>
  <si>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</si>
  <si>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</si>
  <si>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</si>
  <si>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</si>
  <si>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</si>
  <si>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</si>
  <si>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</si>
  <si>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</si>
  <si>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</si>
  <si>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</si>
  <si>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</si>
  <si>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</si>
  <si>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</si>
  <si>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</si>
  <si>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</si>
  <si>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</si>
  <si>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</si>
  <si>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</si>
  <si>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</si>
  <si>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</si>
  <si>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</si>
  <si>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</si>
  <si>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</si>
  <si>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</si>
  <si>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</si>
  <si>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</si>
  <si>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</si>
  <si>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</si>
  <si>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</si>
  <si>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</si>
  <si>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</si>
  <si>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</si>
  <si>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</si>
  <si>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</si>
  <si>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</si>
  <si>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</si>
  <si>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</si>
  <si>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</si>
  <si>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</si>
  <si>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</si>
  <si>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</si>
  <si>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</si>
  <si>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</si>
  <si>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</si>
  <si>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</si>
  <si>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</si>
  <si>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</si>
  <si>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</si>
  <si>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</si>
  <si>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</si>
  <si>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</si>
  <si>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</si>
  <si>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</si>
  <si>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</si>
  <si>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</si>
  <si>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</si>
  <si>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</si>
  <si>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</si>
  <si>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</si>
  <si>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</si>
  <si>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</si>
  <si>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</si>
  <si>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</si>
  <si>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</si>
  <si>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</si>
  <si>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</si>
  <si>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</si>
  <si>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</si>
  <si>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</si>
  <si>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</si>
  <si>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</si>
  <si>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</si>
  <si>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</si>
  <si>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</si>
  <si>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</si>
  <si>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</si>
  <si>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</si>
  <si>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</si>
  <si>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</si>
  <si>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</si>
  <si>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</si>
  <si>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</si>
  <si>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</si>
  <si>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</si>
  <si>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</si>
  <si>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</si>
  <si>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</si>
  <si>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</si>
  <si>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</si>
  <si>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</si>
  <si>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</si>
  <si>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</si>
  <si>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</si>
  <si>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</si>
  <si>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</si>
  <si>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</si>
  <si>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</si>
  <si>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</si>
  <si>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</si>
  <si>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</si>
  <si>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</si>
  <si>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</si>
  <si>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</si>
  <si>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</si>
  <si>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</si>
  <si>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</si>
  <si>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</si>
  <si>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</si>
  <si>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</si>
  <si>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</si>
  <si>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</si>
  <si>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</si>
  <si>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</si>
  <si>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</si>
  <si>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</si>
  <si>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</si>
  <si>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</si>
  <si>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</si>
  <si>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</si>
  <si>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</si>
  <si>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</si>
  <si>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</si>
  <si>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</si>
  <si>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</si>
  <si>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</si>
  <si>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</si>
  <si>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</si>
  <si>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</si>
  <si>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</si>
  <si>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</si>
  <si>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</si>
  <si>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</si>
  <si>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</si>
  <si>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</si>
  <si>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</si>
  <si>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</si>
  <si>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</si>
  <si>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</si>
  <si>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</si>
  <si>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</si>
  <si>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</si>
  <si>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</si>
  <si>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</si>
  <si>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</si>
  <si>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</si>
  <si>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</si>
  <si>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</si>
  <si>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</si>
  <si>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</si>
  <si>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</si>
  <si>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</si>
  <si>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</si>
  <si>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</si>
  <si>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</si>
  <si>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</si>
  <si>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</si>
  <si>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</si>
  <si>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</si>
  <si>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</si>
  <si>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</si>
  <si>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</si>
  <si>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</si>
  <si>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</si>
  <si>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</si>
  <si>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</si>
  <si>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</si>
  <si>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</si>
  <si>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</si>
  <si>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</si>
  <si>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</si>
  <si>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</si>
  <si>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</si>
  <si>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</si>
  <si>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</si>
  <si>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</si>
  <si>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</si>
  <si>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</si>
  <si>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</si>
  <si>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</si>
  <si>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</si>
  <si>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</si>
  <si>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</si>
  <si>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</si>
  <si>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</si>
  <si>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</si>
  <si>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</si>
  <si>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</si>
  <si>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</si>
  <si>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</si>
  <si>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</si>
  <si>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</si>
  <si>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</si>
  <si>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</si>
  <si>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</si>
  <si>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</si>
  <si>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</si>
  <si>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</si>
  <si>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</si>
  <si>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</si>
  <si>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</si>
  <si>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</si>
  <si>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</si>
  <si>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</si>
  <si>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</si>
  <si>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</si>
  <si>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</si>
  <si>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</si>
  <si>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</si>
  <si>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</si>
  <si>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</si>
  <si>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</si>
  <si>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</si>
  <si>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</si>
  <si>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</si>
  <si>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</si>
  <si>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</si>
  <si>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</si>
  <si>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</si>
  <si>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</si>
  <si>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</si>
  <si>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</si>
  <si>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</si>
  <si>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</si>
  <si>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</si>
  <si>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</si>
  <si>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</si>
  <si>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</si>
  <si>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</si>
  <si>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</si>
  <si>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</si>
  <si>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</si>
  <si>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</si>
  <si>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</si>
  <si>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</si>
  <si>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</si>
  <si>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</si>
  <si>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</si>
  <si>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</si>
  <si>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</si>
  <si>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</si>
  <si>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</si>
  <si>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</si>
  <si>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</si>
  <si>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</si>
  <si>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</si>
  <si>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</si>
  <si>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</si>
  <si>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</si>
  <si>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</si>
  <si>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</si>
  <si>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</si>
  <si>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</si>
  <si>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</si>
  <si>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</si>
  <si>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</si>
  <si>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</si>
  <si>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</si>
  <si>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</si>
  <si>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</si>
  <si>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</si>
  <si>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</si>
  <si>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</si>
  <si>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</si>
  <si>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</si>
  <si>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</si>
  <si>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</si>
  <si>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</si>
  <si>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</si>
  <si>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</si>
  <si>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</si>
  <si>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</si>
  <si>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</si>
  <si>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</si>
  <si>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</si>
  <si>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</si>
  <si>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</si>
  <si>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</si>
  <si>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</si>
  <si>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</si>
  <si>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</si>
  <si>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</si>
  <si>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</si>
  <si>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</si>
  <si>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</si>
  <si>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</si>
  <si>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</si>
  <si>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</si>
  <si>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</si>
  <si>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</si>
  <si>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</si>
  <si>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</si>
  <si>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</si>
  <si>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</si>
  <si>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</si>
  <si>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</si>
  <si>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</si>
  <si>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</si>
  <si>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</si>
  <si>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</si>
  <si>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</si>
  <si>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</si>
  <si>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</si>
  <si>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</si>
  <si>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</si>
  <si>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</si>
  <si>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</si>
  <si>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</si>
  <si>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</si>
  <si>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</si>
  <si>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</si>
  <si>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</si>
  <si>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</si>
  <si>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</si>
  <si>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</si>
  <si>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</si>
  <si>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</si>
  <si>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</si>
  <si>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</si>
  <si>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</si>
  <si>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</si>
  <si>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</si>
  <si>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</si>
  <si>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</si>
  <si>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</si>
  <si>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</si>
  <si>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</si>
  <si>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</si>
  <si>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</si>
  <si>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</si>
  <si>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</si>
  <si>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</si>
  <si>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</si>
  <si>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</si>
  <si>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</si>
  <si>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</si>
  <si>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</si>
  <si>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</si>
  <si>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</si>
  <si>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</si>
  <si>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</si>
  <si>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</si>
  <si>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</si>
  <si>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</si>
  <si>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</si>
  <si>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</si>
  <si>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</si>
  <si>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</si>
  <si>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</si>
  <si>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</si>
  <si>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</si>
  <si>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</si>
  <si>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</si>
  <si>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</si>
  <si>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</si>
  <si>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</si>
  <si>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</si>
  <si>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</si>
  <si>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</si>
  <si>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</si>
  <si>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</si>
  <si>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</si>
  <si>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</si>
  <si>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</si>
  <si>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</si>
  <si>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</si>
  <si>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</si>
  <si>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</si>
  <si>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</si>
  <si>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</si>
  <si>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</si>
  <si>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</si>
  <si>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</si>
  <si>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</si>
  <si>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</si>
  <si>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</si>
  <si>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</si>
  <si>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</si>
  <si>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</si>
  <si>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</si>
  <si>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</si>
  <si>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</si>
  <si>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</si>
  <si>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</si>
  <si>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</si>
  <si>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</si>
  <si>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</si>
  <si>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</si>
  <si>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</si>
  <si>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</si>
  <si>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</si>
  <si>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</si>
  <si>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</si>
  <si>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</si>
  <si>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</si>
  <si>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</si>
  <si>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</si>
  <si>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</si>
  <si>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</si>
  <si>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</si>
  <si>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</si>
  <si>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</si>
  <si>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</si>
  <si>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</si>
  <si>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</si>
  <si>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</si>
  <si>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</si>
  <si>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</si>
  <si>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</si>
  <si>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</si>
  <si>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</si>
  <si>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</si>
  <si>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</si>
  <si>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</si>
  <si>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</si>
  <si>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</si>
  <si>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</si>
  <si>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</si>
  <si>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</si>
  <si>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</si>
  <si>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</si>
  <si>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</si>
  <si>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</si>
  <si>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</si>
  <si>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</si>
  <si>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</si>
  <si>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</si>
  <si>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</si>
  <si>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</si>
  <si>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</si>
  <si>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</si>
  <si>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</si>
  <si>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</si>
  <si>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</si>
  <si>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</si>
  <si>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</si>
  <si>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</si>
  <si>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</si>
  <si>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</si>
  <si>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</si>
  <si>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</si>
  <si>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</si>
  <si>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</si>
  <si>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</si>
  <si>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</si>
  <si>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</si>
  <si>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</si>
  <si>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</si>
  <si>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</si>
  <si>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</si>
  <si>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</si>
  <si>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</si>
  <si>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</si>
  <si>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</si>
  <si>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</si>
  <si>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</si>
  <si>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</si>
  <si>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</si>
  <si>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</si>
  <si>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</si>
  <si>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</si>
  <si>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</si>
  <si>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</si>
  <si>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</si>
  <si>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</si>
  <si>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</si>
  <si>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</si>
  <si>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</si>
  <si>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</si>
  <si>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</si>
  <si>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</si>
  <si>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</si>
  <si>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</si>
  <si>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</si>
  <si>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</si>
  <si>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</si>
  <si>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</si>
  <si>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</si>
  <si>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</si>
  <si>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</si>
  <si>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</si>
  <si>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</si>
  <si>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</si>
  <si>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</si>
  <si>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</si>
  <si>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</si>
  <si>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</si>
  <si>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</si>
  <si>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</si>
  <si>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</si>
  <si>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</si>
  <si>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</si>
  <si>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</si>
  <si>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</si>
  <si>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</si>
  <si>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</si>
  <si>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</si>
  <si>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</si>
  <si>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</si>
  <si>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</si>
  <si>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</si>
  <si>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</si>
  <si>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</si>
  <si>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</si>
  <si>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</si>
  <si>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</si>
  <si>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</si>
  <si>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</si>
  <si>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</si>
  <si>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</si>
  <si>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</si>
  <si>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</si>
  <si>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</si>
  <si>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</si>
  <si>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</si>
  <si>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</si>
  <si>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</si>
  <si>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</si>
  <si>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</si>
  <si>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06;00</t>
  </si>
  <si>
    <t>TCS-TRO</t>
  </si>
  <si>
    <t>TCSTRO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</si>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</sst>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12" activePane="bottomRight" state="frozen"/>
      <selection pane="bottomRight" activeCell="Q121" sqref="Q1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1130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1131</v>
      </c>
      <c r="BI1" s="363"/>
      <c r="BJ1" s="364"/>
      <c r="BK1" s="365"/>
      <c r="BL1" s="49"/>
      <c r="BM1" s="355" t="s">
        <v>1132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8" t="s">
        <v>1133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1136</v>
      </c>
      <c r="AT2" s="360"/>
      <c r="AU2" s="360"/>
      <c r="AV2" s="360"/>
      <c r="AW2" s="360"/>
      <c r="AX2" s="359"/>
      <c r="AY2" s="361"/>
      <c r="AZ2" s="4"/>
      <c r="BA2" s="352" t="s">
        <v>1137</v>
      </c>
      <c r="BB2" s="354"/>
      <c r="BC2" s="358" t="s">
        <v>1134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2" t="s">
        <v>1138</v>
      </c>
      <c r="AJ3" s="354"/>
      <c r="AK3" s="352" t="s">
        <v>1139</v>
      </c>
      <c r="AL3" s="353"/>
      <c r="AM3" s="353"/>
      <c r="AN3" s="353"/>
      <c r="AO3" s="353"/>
      <c r="AP3" s="353"/>
      <c r="AQ3" s="354"/>
      <c r="AR3" s="239"/>
      <c r="AS3" s="376" t="s">
        <v>1145</v>
      </c>
      <c r="AT3" s="377"/>
      <c r="AU3" s="376" t="s">
        <v>1146</v>
      </c>
      <c r="AV3" s="377"/>
      <c r="AW3" s="376" t="s">
        <v>1147</v>
      </c>
      <c r="AX3" s="378"/>
      <c r="AY3" s="63" t="s">
        <v>1148</v>
      </c>
      <c r="AZ3" s="63"/>
      <c r="BA3" s="374"/>
      <c r="BB3" s="375"/>
      <c r="BC3" s="352" t="s">
        <v>1141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1149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96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1341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1342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1343</v>
      </c>
      <c r="X107" s="217" t="s">
        <v>964</v>
      </c>
      <c r="Y107" s="157" t="s">
        <v>967</v>
      </c>
      <c r="Z107" s="157"/>
      <c r="AA107" s="83" t="s">
        <v>1344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1345</v>
      </c>
      <c r="BK107" s="16" t="s">
        <v>1345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</v>
      </c>
      <c r="L112" s="83">
        <v>728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0.29166666666666669</v>
      </c>
      <c r="P112" s="172" t="s">
        <v>1346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</v>
      </c>
      <c r="AQ112" s="285">
        <f>IF(BS_CONTROLE[[#This Row],[KM - Fim]]=0, "-", BS_CONTROLE[[#This Row],[KM - Fim]])</f>
        <v>728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e">
        <f t="shared" si="17"/>
        <v>#VALUE!</v>
      </c>
      <c r="BR112" s="18" t="e">
        <f t="shared" si="18"/>
        <v>#VALUE!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>W7046030</v>
      </c>
      <c r="B114" s="170">
        <v>46030</v>
      </c>
      <c r="C114" s="8">
        <f>IF(BS_CONTROLE[[#This Row],[DATA]]="","",WEEKNUM(BS_CONTROLE[[#This Row],[DATA]]))</f>
        <v>2</v>
      </c>
      <c r="D114" s="51" t="s">
        <v>246</v>
      </c>
      <c r="E114" s="319">
        <v>108</v>
      </c>
      <c r="F114" s="171" t="s">
        <v>187</v>
      </c>
      <c r="G114" s="9" t="str">
        <f>IF(D114="","*",VLOOKUP(F114,BS_ATIVIDADE[#All],3,FALSE))</f>
        <v>PEDRA</v>
      </c>
      <c r="H114" s="172" t="s">
        <v>432</v>
      </c>
      <c r="I114" s="172" t="s">
        <v>949</v>
      </c>
      <c r="J114" s="216">
        <v>98</v>
      </c>
      <c r="K114" s="216">
        <v>738.5</v>
      </c>
      <c r="L114" s="83">
        <v>735.5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4" s="203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80" t="str">
        <f>IFERROR(_xlfn.XLOOKUP(J114, BASE_MAPA!$E$2:$E$359, BASE_MAPA!$J$2:$J$359), "ERRO")</f>
        <v>ALTO ARAGUAIA - RONDONOPOLIS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PEDRA</v>
      </c>
      <c r="AK114" s="283" t="str">
        <f>IF(BS_CONTROLE[[#This Row],[Local - Partida]]=0, "-", BS_CONTROLE[[#This Row],[Local - Partida]])</f>
        <v>TRO</v>
      </c>
      <c r="AL114" s="283" t="str">
        <f>IF(BS_CONTROLE[[#This Row],[Local - Encerramento]]=0, "-", BS_CONTROLE[[#This Row],[Local - Encerramento]])</f>
        <v>TGR2</v>
      </c>
      <c r="AM114" s="283" t="str">
        <f>IF(BS_CONTROLE[[#This Row],[Entre - Estações]]=0, "-", BS_CONTROLE[[#This Row],[Entre - Estações]])</f>
        <v>TSF-TRO</v>
      </c>
      <c r="AN114" s="283">
        <f>IF(BS_CONTROLE[[#This Row],[SB]]=0, "-", BS_CONTROLE[[#This Row],[SB]])</f>
        <v>732744</v>
      </c>
      <c r="AO114" s="284">
        <f>IF(BS_CONTROLE[[#This Row],[SUB]]=0, "-", BS_CONTROLE[[#This Row],[SUB]])</f>
        <v>98</v>
      </c>
      <c r="AP114" s="285">
        <f>IF(BS_CONTROLE[[#This Row],[KM - Inicio]]=0, "-", BS_CONTROLE[[#This Row],[KM - Inicio]])</f>
        <v>738.5</v>
      </c>
      <c r="AQ114" s="285">
        <f>IF(BS_CONTROLE[[#This Row],[KM - Fim]]=0, "-", BS_CONTROLE[[#This Row],[KM - Fim]])</f>
        <v>735.5</v>
      </c>
      <c r="AR114" s="38"/>
      <c r="AS114" s="38"/>
      <c r="AT114" s="38"/>
      <c r="AU114" s="38"/>
      <c r="AV114" s="38"/>
      <c r="AW114" s="38"/>
      <c r="AX114" s="38"/>
      <c r="AY114" s="318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11" t="str">
        <f>IFERROR(_xlfn.XLOOKUP(AO114, BASE_MAPA!$E$2:$E$359, BASE_MAPA!$J$2:$J$359), "ERRO")</f>
        <v>ALTO ARAGUAIA - RONDONOPOLIS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e">
        <f t="shared" si="17"/>
        <v>#DIV/0!</v>
      </c>
      <c r="BR114" s="18" t="e">
        <f t="shared" si="18"/>
        <v>#DIV/0!</v>
      </c>
      <c r="BS114" s="18" t="e">
        <f t="shared" si="19"/>
        <v>#DIV/0!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502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</v>
      </c>
      <c r="AN116" s="283" t="str">
        <f>IF(BS_CONTROLE[[#This Row],[SB]]=0, "-", BS_CONTROLE[[#This Row],[SB]])</f>
        <v>TIQ1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502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E4646030</v>
      </c>
      <c r="B119" s="170">
        <v>46030</v>
      </c>
      <c r="C119" s="8">
        <f>IF(BS_CONTROLE[[#This Row],[DATA]]="","",WEEKNUM(BS_CONTROLE[[#This Row],[DATA]]))</f>
        <v>2</v>
      </c>
      <c r="D119" s="51" t="s">
        <v>159</v>
      </c>
      <c r="E119" s="320">
        <v>113</v>
      </c>
      <c r="F119" s="171" t="s">
        <v>25</v>
      </c>
      <c r="G119" s="9" t="str">
        <f>IF(D119="","*",VLOOKUP(F119,BS_ATIVIDADE[#All],3,FALSE))</f>
        <v>OUTROS</v>
      </c>
      <c r="H119" s="172" t="s">
        <v>618</v>
      </c>
      <c r="I119" s="172" t="s">
        <v>432</v>
      </c>
      <c r="J119" s="216">
        <v>74</v>
      </c>
      <c r="K119" s="216">
        <v>291</v>
      </c>
      <c r="L119" s="83">
        <v>754</v>
      </c>
      <c r="M119" s="203" t="s">
        <v>1347</v>
      </c>
      <c r="N119" s="203" t="s">
        <v>1348</v>
      </c>
      <c r="O119" s="172">
        <v>0.41666666666666669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TCS2</v>
      </c>
      <c r="AL119" s="283" t="str">
        <f>IF(BS_CONTROLE[[#This Row],[Local - Encerramento]]=0, "-", BS_CONTROLE[[#This Row],[Local - Encerramento]])</f>
        <v>TRO</v>
      </c>
      <c r="AM119" s="283" t="str">
        <f>IF(BS_CONTROLE[[#This Row],[Entre - Estações]]=0, "-", BS_CONTROLE[[#This Row],[Entre - Estações]])</f>
        <v>TCS-TRO</v>
      </c>
      <c r="AN119" s="283" t="str">
        <f>IF(BS_CONTROLE[[#This Row],[SB]]=0, "-", BS_CONTROLE[[#This Row],[SB]])</f>
        <v>TCSTRO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291</v>
      </c>
      <c r="AQ119" s="285">
        <f>IF(BS_CONTROLE[[#This Row],[KM - Fim]]=0, "-", BS_CONTROLE[[#This Row],[KM - Fim]])</f>
        <v>754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V6646030</v>
      </c>
      <c r="B121" s="170">
        <v>46030</v>
      </c>
      <c r="C121" s="8">
        <f>IF(BS_CONTROLE[[#This Row],[DATA]]="","",WEEKNUM(BS_CONTROLE[[#This Row],[DATA]]))</f>
        <v>2</v>
      </c>
      <c r="D121" s="51" t="s">
        <v>190</v>
      </c>
      <c r="E121" s="319">
        <v>115</v>
      </c>
      <c r="F121" s="171" t="s">
        <v>25</v>
      </c>
      <c r="G121" s="9" t="str">
        <f>IF(D121="","*",VLOOKUP(F121,BS_ATIVIDADE[#All],3,FALSE))</f>
        <v>OUTROS</v>
      </c>
      <c r="H121" s="172" t="s">
        <v>922</v>
      </c>
      <c r="I121" s="172" t="s">
        <v>618</v>
      </c>
      <c r="J121" s="216">
        <v>74</v>
      </c>
      <c r="K121" s="216">
        <v>404</v>
      </c>
      <c r="L121" s="83" t="s">
        <v>11</v>
      </c>
      <c r="M121" s="203" t="s">
        <v>922</v>
      </c>
      <c r="N121" s="203" t="s">
        <v>923</v>
      </c>
      <c r="O121" s="397">
        <v>0.375</v>
      </c>
      <c r="P121" s="172">
        <v>4.1666666666666664E-2</v>
      </c>
      <c r="Q121" s="83">
        <v>1</v>
      </c>
      <c r="R121" s="10" t="str">
        <f>IFERROR(_xlfn.XLOOKUP(F121, BS_ATIVIDADE[ATIVIDADE],BS_ATIVIDADE[UNIDADE] ), "*")</f>
        <v>BINÁRIO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DESLOCAMENTO</v>
      </c>
      <c r="AJ121" s="9" t="str">
        <f>IF(D121="","*",VLOOKUP(AI121,BS_ATIVIDADE[#Data],3,FALSE))</f>
        <v>OUTROS</v>
      </c>
      <c r="AK121" s="283" t="str">
        <f>IF(BS_CONTROLE[[#This Row],[Local - Partida]]=0, "-", BS_CONTROLE[[#This Row],[Local - Partida]])</f>
        <v>TOM</v>
      </c>
      <c r="AL121" s="283" t="str">
        <f>IF(BS_CONTROLE[[#This Row],[Local - Encerramento]]=0, "-", BS_CONTROLE[[#This Row],[Local - Encerramento]])</f>
        <v>TCS2</v>
      </c>
      <c r="AM121" s="283" t="str">
        <f>IF(BS_CONTROLE[[#This Row],[Entre - Estações]]=0, "-", BS_CONTROLE[[#This Row],[Entre - Estações]])</f>
        <v>TOM</v>
      </c>
      <c r="AN121" s="283" t="str">
        <f>IF(BS_CONTROLE[[#This Row],[SB]]=0, "-", BS_CONTROLE[[#This Row],[SB]])</f>
        <v>TOM1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404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BINÁRIO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>ANTÔNIO (TP-492)46030</v>
      </c>
      <c r="B131" s="170">
        <v>46030</v>
      </c>
      <c r="C131" s="8">
        <f>IF(BS_CONTROLE[[#This Row],[DATA]]="","",WEEKNUM(BS_CONTROLE[[#This Row],[DATA]]))</f>
        <v>2</v>
      </c>
      <c r="D131" s="51" t="s">
        <v>351</v>
      </c>
      <c r="E131" s="320">
        <v>125</v>
      </c>
      <c r="F131" s="171" t="s">
        <v>181</v>
      </c>
      <c r="G131" s="9" t="str">
        <f>IF(D131="","*",VLOOKUP(F131,BS_ATIVIDADE[#All],3,FALSE))</f>
        <v>DORMENTE - PONTE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M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DORMENTE - PONTE</v>
      </c>
      <c r="AJ131" s="9" t="str">
        <f>IF(D131="","*",VLOOKUP(AI131,BS_ATIVIDADE[#Data],3,FALSE))</f>
        <v>DORMENTE - PONTE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e">
        <f t="shared" si="17"/>
        <v>#DIV/0!</v>
      </c>
      <c r="BR131" s="18" t="e">
        <f t="shared" si="18"/>
        <v>#DIV/0!</v>
      </c>
      <c r="BS131" s="18" t="e">
        <f t="shared" si="19"/>
        <v>#DIV/0!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e">
        <f t="shared" si="17"/>
        <v>#DIV/0!</v>
      </c>
      <c r="BR132" s="18" t="e">
        <f t="shared" si="18"/>
        <v>#DIV/0!</v>
      </c>
      <c r="BS132" s="18" t="e">
        <f t="shared" si="19"/>
        <v>#DIV/0!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e">
        <f t="shared" si="17"/>
        <v>#DIV/0!</v>
      </c>
      <c r="BR134" s="18" t="e">
        <f t="shared" si="18"/>
        <v>#DIV/0!</v>
      </c>
      <c r="BS134" s="18" t="e">
        <f t="shared" si="19"/>
        <v>#DIV/0!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143</v>
      </c>
      <c r="G138" s="9" t="str">
        <f>IF(D138="","*",VLOOKUP(F138,BS_ATIVIDADE[#All],3,FALSE))</f>
        <v>MODERNIZAÇÃO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M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MODERNIZAÇÃO - SOCADORA</v>
      </c>
      <c r="AJ138" s="9" t="str">
        <f>IF(D138="","*",VLOOKUP(AI138,BS_ATIVIDADE[#Data],3,FALSE))</f>
        <v>MODERNIZAÇÃO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e">
        <f t="shared" si="17"/>
        <v>#DIV/0!</v>
      </c>
      <c r="BR138" s="18" t="e">
        <f t="shared" si="18"/>
        <v>#DIV/0!</v>
      </c>
      <c r="BS138" s="18" t="e">
        <f t="shared" si="19"/>
        <v>#DIV/0!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e">
        <f t="shared" si="17"/>
        <v>#DIV/0!</v>
      </c>
      <c r="BR140" s="18" t="e">
        <f t="shared" si="18"/>
        <v>#DIV/0!</v>
      </c>
      <c r="BS140" s="18" t="e">
        <f t="shared" si="19"/>
        <v>#DIV/0!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1218</v>
      </c>
      <c r="R1" s="383"/>
      <c r="U1" s="101"/>
      <c r="V1" s="384" t="s">
        <v>1349</v>
      </c>
      <c r="W1" s="384"/>
      <c r="X1" s="384"/>
      <c r="Y1" s="103"/>
    </row>
    <row r="2" spans="1:25" s="100" customFormat="1" ht="11.25" customHeight="1">
      <c r="A2" s="104" t="s">
        <v>1350</v>
      </c>
      <c r="B2" s="104" t="s">
        <v>1351</v>
      </c>
      <c r="C2" s="104" t="s">
        <v>7</v>
      </c>
      <c r="D2" s="105" t="s">
        <v>1170</v>
      </c>
      <c r="E2" s="105" t="s">
        <v>1171</v>
      </c>
      <c r="F2" s="105" t="s">
        <v>1352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1353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</v>
      </c>
      <c r="O110" s="295">
        <f>IF(FN_MC!L112="","*",FN_MC!L112)</f>
        <v>728</v>
      </c>
      <c r="P110" s="110"/>
      <c r="Q110" s="127">
        <f>IF(FN_MC!O112="","*",FN_MC!O112)</f>
        <v>0.29166666666666669</v>
      </c>
      <c r="R110" s="127" t="str">
        <f>IF(FN_MC!P112="","*",FN_MC!P112)</f>
        <v>06;00</v>
      </c>
      <c r="S110" s="109" t="str">
        <f>IF(FN_MC!Q112="","*",CONCATENATE(FN_MC!Q112," ",FN_MC!R112))</f>
        <v>3360 M</v>
      </c>
      <c r="T110" s="109" t="str">
        <f>IF(FN_MC!V112="","*",FN_MC!V112)</f>
        <v>*</v>
      </c>
      <c r="U110" s="109" t="str">
        <f>IF(FN_MC!W112="","*",FN_MC!W112)</f>
        <v>*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FERRONORTE</v>
      </c>
      <c r="E112" s="109" t="str">
        <f>IF(FN_MC!T114="","*",FN_MC!T114)</f>
        <v>TGR-TRO</v>
      </c>
      <c r="F112" s="109">
        <f>IF(FN_MC!B114="","*",FN_MC!B114)</f>
        <v>46030</v>
      </c>
      <c r="G112" s="109" t="str">
        <f>IF(FN_MC!D114="","*",FN_MC!D114)</f>
        <v>W70</v>
      </c>
      <c r="H112" s="109" t="str">
        <f>IF(FN_MC!F114="","*",FN_MC!F114)</f>
        <v>PDM - PEDRA - DESCARGA</v>
      </c>
      <c r="I112" s="109" t="str">
        <f>IF(FN_MC!H114="","*",FN_MC!H114)</f>
        <v>TRO</v>
      </c>
      <c r="J112" s="109" t="str">
        <f>IF(FN_MC!I114="","*",FN_MC!I114)</f>
        <v>TGR2</v>
      </c>
      <c r="K112" s="109" t="str">
        <f>IF(FN_MC!M114="","*",FN_MC!M114)</f>
        <v>TSF-TRO</v>
      </c>
      <c r="L112" s="333">
        <f>IF(FN_MC!N114="","*",FN_MC!N114)</f>
        <v>732744</v>
      </c>
      <c r="M112" s="110">
        <f>IF(FN_MC!J114="","*",FN_MC!J114)</f>
        <v>98</v>
      </c>
      <c r="N112" s="295">
        <f>IF(FN_MC!K114="","*",FN_MC!K114)</f>
        <v>738.5</v>
      </c>
      <c r="O112" s="295">
        <f>IF(FN_MC!L114="","*",FN_MC!L114)</f>
        <v>735.5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>
        <f ca="1">_xlfn.XLOOKUP(G112&amp;$V$2,BS_CONTROLE[CHAVE],BS_CONTROLE[Quantidade_11],"-")</f>
        <v>28</v>
      </c>
      <c r="W112" s="111">
        <f ca="1">_xlfn.XLOOKUP(G112&amp;$W$2,BS_CONTROLE[CHAVE],BS_CONTROLE[Quantidade_11],"-")</f>
        <v>1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</v>
      </c>
      <c r="L114" s="333" t="str">
        <f>IF(FN_MC!N116="","*",FN_MC!N116)</f>
        <v>TIQ1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502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*</v>
      </c>
      <c r="U114" s="109" t="str">
        <f>IF(FN_MC!W116="","*",FN_MC!W116)</f>
        <v>*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*</v>
      </c>
      <c r="U115" s="109" t="str">
        <f>IF(FN_MC!W117="","*",FN_MC!W117)</f>
        <v>*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E46</v>
      </c>
      <c r="H117" s="109" t="str">
        <f>IF(FN_MC!F119="","*",FN_MC!F119)</f>
        <v>DESLOCAMENTO</v>
      </c>
      <c r="I117" s="109" t="str">
        <f>IF(FN_MC!H119="","*",FN_MC!H119)</f>
        <v>TCS2</v>
      </c>
      <c r="J117" s="109" t="str">
        <f>IF(FN_MC!I119="","*",FN_MC!I119)</f>
        <v>TRO</v>
      </c>
      <c r="K117" s="109" t="str">
        <f>IF(FN_MC!M119="","*",FN_MC!M119)</f>
        <v>TCS-TRO</v>
      </c>
      <c r="L117" s="333" t="str">
        <f>IF(FN_MC!N119="","*",FN_MC!N119)</f>
        <v>TCSTRO</v>
      </c>
      <c r="M117" s="110">
        <f>IF(FN_MC!J119="","*",FN_MC!J119)</f>
        <v>74</v>
      </c>
      <c r="N117" s="295">
        <f>IF(FN_MC!K119="","*",FN_MC!K119)</f>
        <v>291</v>
      </c>
      <c r="O117" s="295">
        <f>IF(FN_MC!L119="","*",FN_MC!L119)</f>
        <v>754</v>
      </c>
      <c r="P117" s="110"/>
      <c r="Q117" s="127">
        <f>IF(FN_MC!O119="","*",FN_MC!O119)</f>
        <v>0.41666666666666669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*</v>
      </c>
      <c r="U117" s="109" t="str">
        <f>IF(FN_MC!W119="","*",FN_MC!W119)</f>
        <v>*</v>
      </c>
      <c r="V117" s="111">
        <f ca="1">_xlfn.XLOOKUP(G117&amp;$V$2,BS_CONTROLE[CHAVE],BS_CONTROLE[Quantidade_11],"-")</f>
        <v>6240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V66</v>
      </c>
      <c r="H119" s="109" t="str">
        <f>IF(FN_MC!F121="","*",FN_MC!F121)</f>
        <v>DESLOCAMENTO</v>
      </c>
      <c r="I119" s="109" t="str">
        <f>IF(FN_MC!H121="","*",FN_MC!H121)</f>
        <v>TOM</v>
      </c>
      <c r="J119" s="109" t="str">
        <f>IF(FN_MC!I121="","*",FN_MC!I121)</f>
        <v>TCS2</v>
      </c>
      <c r="K119" s="109" t="str">
        <f>IF(FN_MC!M121="","*",FN_MC!M121)</f>
        <v>TOM</v>
      </c>
      <c r="L119" s="333" t="str">
        <f>IF(FN_MC!N121="","*",FN_MC!N121)</f>
        <v>TOM1</v>
      </c>
      <c r="M119" s="110">
        <f>IF(FN_MC!J121="","*",FN_MC!J121)</f>
        <v>74</v>
      </c>
      <c r="N119" s="295">
        <f>IF(FN_MC!K121="","*",FN_MC!K121)</f>
        <v>404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4.1666666666666664E-2</v>
      </c>
      <c r="S119" s="109" t="str">
        <f>IF(FN_MC!Q121="","*",CONCATENATE(FN_MC!Q121," ",FN_MC!R121))</f>
        <v>1 BINÁRIO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>
        <f>IF(FN_MC!B131="","*",FN_MC!B131)</f>
        <v>46030</v>
      </c>
      <c r="G129" s="109" t="str">
        <f>IF(FN_MC!D131="","*",FN_MC!D131)</f>
        <v>ANTÔNIO (TP-492)</v>
      </c>
      <c r="H129" s="109" t="str">
        <f>IF(FN_MC!F131="","*",FN_MC!F131)</f>
        <v>PDM - DORMENTE - PONTE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>
        <f ca="1">_xlfn.XLOOKUP(G129&amp;$V$2,BS_CONTROLE[CHAVE],BS_CONTROLE[Quantidade_11],"-")</f>
        <v>20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MODERNIZAÇÃO - SOCADORA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1354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1355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1356</v>
      </c>
      <c r="E3" s="321" t="s">
        <v>1357</v>
      </c>
      <c r="F3" s="321" t="s">
        <v>1358</v>
      </c>
      <c r="G3" s="321" t="s">
        <v>1359</v>
      </c>
      <c r="H3" s="321" t="s">
        <v>1360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1361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1362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1363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1364</v>
      </c>
      <c r="C4" s="326" t="s">
        <v>1365</v>
      </c>
      <c r="D4" s="326" t="s">
        <v>1366</v>
      </c>
      <c r="E4" s="326" t="s">
        <v>1367</v>
      </c>
      <c r="F4" s="326" t="s">
        <v>359</v>
      </c>
      <c r="G4" s="326" t="s">
        <v>1368</v>
      </c>
      <c r="H4" s="191"/>
    </row>
    <row r="5" spans="1:8" ht="43.5">
      <c r="A5" s="191"/>
      <c r="B5" s="327" t="s">
        <v>1369</v>
      </c>
      <c r="C5" s="327">
        <v>309525</v>
      </c>
      <c r="D5" s="327" t="s">
        <v>1370</v>
      </c>
      <c r="E5" s="327" t="s">
        <v>246</v>
      </c>
      <c r="F5" s="327" t="s">
        <v>1347</v>
      </c>
      <c r="G5" s="328">
        <v>46296</v>
      </c>
      <c r="H5" s="191"/>
    </row>
    <row r="6" spans="1:8" ht="43.5">
      <c r="A6" s="191"/>
      <c r="B6" s="327" t="s">
        <v>1371</v>
      </c>
      <c r="C6" s="327">
        <v>256875</v>
      </c>
      <c r="D6" s="327" t="s">
        <v>1372</v>
      </c>
      <c r="E6" s="327" t="s">
        <v>246</v>
      </c>
      <c r="F6" s="327" t="s">
        <v>1347</v>
      </c>
      <c r="G6" s="328">
        <v>46296</v>
      </c>
      <c r="H6" s="191"/>
    </row>
    <row r="7" spans="1:8" ht="43.5">
      <c r="A7" s="191"/>
      <c r="B7" s="327" t="s">
        <v>1373</v>
      </c>
      <c r="C7" s="327">
        <v>257278</v>
      </c>
      <c r="D7" s="327" t="s">
        <v>1374</v>
      </c>
      <c r="E7" s="327" t="s">
        <v>237</v>
      </c>
      <c r="F7" s="327" t="s">
        <v>1375</v>
      </c>
      <c r="G7" s="328">
        <v>46235</v>
      </c>
      <c r="H7" s="191"/>
    </row>
    <row r="8" spans="1:8" ht="43.5">
      <c r="A8" s="191"/>
      <c r="B8" s="327" t="s">
        <v>1376</v>
      </c>
      <c r="C8" s="327">
        <v>261794</v>
      </c>
      <c r="D8" s="327" t="s">
        <v>1377</v>
      </c>
      <c r="E8" s="327" t="s">
        <v>237</v>
      </c>
      <c r="F8" s="327" t="s">
        <v>1375</v>
      </c>
      <c r="G8" s="328">
        <v>46082</v>
      </c>
      <c r="H8" s="191"/>
    </row>
    <row r="9" spans="1:8" ht="43.5">
      <c r="A9" s="191"/>
      <c r="B9" s="327" t="s">
        <v>1378</v>
      </c>
      <c r="C9" s="327">
        <v>257033</v>
      </c>
      <c r="D9" s="327" t="s">
        <v>1379</v>
      </c>
      <c r="E9" s="327" t="s">
        <v>237</v>
      </c>
      <c r="F9" s="327" t="s">
        <v>546</v>
      </c>
      <c r="G9" s="327" t="s">
        <v>1380</v>
      </c>
      <c r="H9" s="191"/>
    </row>
    <row r="10" spans="1:8" ht="43.5">
      <c r="A10" s="191"/>
      <c r="B10" s="327" t="s">
        <v>1381</v>
      </c>
      <c r="C10" s="327">
        <v>396578</v>
      </c>
      <c r="D10" s="327" t="s">
        <v>1382</v>
      </c>
      <c r="E10" s="327" t="s">
        <v>237</v>
      </c>
      <c r="F10" s="327" t="s">
        <v>546</v>
      </c>
      <c r="G10" s="327" t="s">
        <v>1380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1383</v>
      </c>
      <c r="D5" s="389"/>
      <c r="E5" s="389"/>
      <c r="F5" s="389"/>
      <c r="G5" s="389"/>
      <c r="H5" s="389"/>
      <c r="I5" s="389"/>
      <c r="J5" s="390"/>
      <c r="K5" s="391" t="s">
        <v>1384</v>
      </c>
      <c r="L5" s="392"/>
      <c r="M5" s="392"/>
      <c r="N5" s="392"/>
      <c r="O5" s="393" t="s">
        <v>1385</v>
      </c>
      <c r="P5" s="394"/>
      <c r="Q5" s="395"/>
    </row>
    <row r="6" spans="1:17" s="93" customFormat="1" ht="15.75" customHeight="1">
      <c r="A6" s="87" t="s">
        <v>1352</v>
      </c>
      <c r="B6" s="94" t="s">
        <v>1351</v>
      </c>
      <c r="C6" s="95" t="s">
        <v>1170</v>
      </c>
      <c r="D6" s="96" t="s">
        <v>1171</v>
      </c>
      <c r="E6" s="95" t="s">
        <v>1386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1387</v>
      </c>
      <c r="M6" s="138" t="s">
        <v>30</v>
      </c>
      <c r="N6" s="139" t="s">
        <v>1165</v>
      </c>
      <c r="O6" s="245" t="s">
        <v>1208</v>
      </c>
      <c r="P6" s="156"/>
      <c r="Q6" s="192" t="s">
        <v>1388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*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</v>
      </c>
      <c r="I113" s="131">
        <f>IF(FN_MC!O112="","*",FN_MC!O112)</f>
        <v>0.29166666666666669</v>
      </c>
      <c r="J113" s="131" t="str">
        <f>IF(FN_MC!P112="","*",FN_MC!P112)</f>
        <v>06;00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>
        <f>IF(FN_MC!B114="","*",FN_MC!B114)</f>
        <v>46030</v>
      </c>
      <c r="B115" s="98" t="str">
        <f>IF(FN_MC!X114="","*",FN_MC!X114)</f>
        <v>*</v>
      </c>
      <c r="C115" s="99" t="str">
        <f>IF(FN_MC!S114="","*",FN_MC!S114)</f>
        <v>FERRONORTE</v>
      </c>
      <c r="D115" s="99" t="str">
        <f>IF(FN_MC!T114="","*",FN_MC!T114)</f>
        <v>TGR-TRO</v>
      </c>
      <c r="E115" s="99" t="str">
        <f>IF(FN_MC!D114="","*",FN_MC!D114)</f>
        <v>W70</v>
      </c>
      <c r="F115" s="99" t="str">
        <f>IF(FN_MC!H114="","*",FN_MC!H114)</f>
        <v>TRO</v>
      </c>
      <c r="G115" s="99" t="str">
        <f>IF(FN_MC!M114="","*",FN_MC!M114)</f>
        <v>TSF-TRO</v>
      </c>
      <c r="H115" s="153">
        <f>IF(FN_MC!K114="","*",FN_MC!K114)</f>
        <v>738.5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TRO</v>
      </c>
      <c r="L115" s="140" t="str">
        <f>IF(FN_MC!AM114="","*",FN_MC!AM114)</f>
        <v>TSF-TRO</v>
      </c>
      <c r="M115" s="140">
        <f>IF(FN_MC!AP114="","*",FN_MC!AP114)</f>
        <v>738.5</v>
      </c>
      <c r="N115" s="140" t="str">
        <f>IF(FN_MC!AM114="","*",FN_MC!AM114)</f>
        <v>TSF-TRO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*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</v>
      </c>
      <c r="M117" s="140">
        <f>IF(FN_MC!AP116="","*",FN_MC!AP116)</f>
        <v>616</v>
      </c>
      <c r="N117" s="140" t="str">
        <f>IF(FN_MC!AM116="","*",FN_MC!AM116)</f>
        <v>TIQ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*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*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E46</v>
      </c>
      <c r="F120" s="99" t="str">
        <f>IF(FN_MC!H119="","*",FN_MC!H119)</f>
        <v>TCS2</v>
      </c>
      <c r="G120" s="99" t="str">
        <f>IF(FN_MC!M119="","*",FN_MC!M119)</f>
        <v>TCS-TRO</v>
      </c>
      <c r="H120" s="153">
        <f>IF(FN_MC!K119="","*",FN_MC!K119)</f>
        <v>291</v>
      </c>
      <c r="I120" s="131">
        <f>IF(FN_MC!O119="","*",FN_MC!O119)</f>
        <v>0.41666666666666669</v>
      </c>
      <c r="J120" s="131">
        <f>IF(FN_MC!P119="","*",FN_MC!P119)</f>
        <v>4.1666666666666664E-2</v>
      </c>
      <c r="K120" s="140" t="str">
        <f>IF(FN_MC!AK119="","*",FN_MC!AK119)</f>
        <v>TCS2</v>
      </c>
      <c r="L120" s="140" t="str">
        <f>IF(FN_MC!AM119="","*",FN_MC!AM119)</f>
        <v>TCS-TRO</v>
      </c>
      <c r="M120" s="140">
        <f>IF(FN_MC!AP119="","*",FN_MC!AP119)</f>
        <v>291</v>
      </c>
      <c r="N120" s="140" t="str">
        <f>IF(FN_MC!AM119="","*",FN_MC!AM119)</f>
        <v>TCS-TRO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*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V66</v>
      </c>
      <c r="F122" s="99" t="str">
        <f>IF(FN_MC!H121="","*",FN_MC!H121)</f>
        <v>TOM</v>
      </c>
      <c r="G122" s="99" t="str">
        <f>IF(FN_MC!M121="","*",FN_MC!M121)</f>
        <v>TOM</v>
      </c>
      <c r="H122" s="153">
        <f>IF(FN_MC!K121="","*",FN_MC!K121)</f>
        <v>404</v>
      </c>
      <c r="I122" s="131">
        <f>IF(FN_MC!O121="","*",FN_MC!O121)</f>
        <v>0.375</v>
      </c>
      <c r="J122" s="131">
        <f>IF(FN_MC!P121="","*",FN_MC!P121)</f>
        <v>4.1666666666666664E-2</v>
      </c>
      <c r="K122" s="140" t="str">
        <f>IF(FN_MC!AK121="","*",FN_MC!AK121)</f>
        <v>TOM</v>
      </c>
      <c r="L122" s="140" t="str">
        <f>IF(FN_MC!AM121="","*",FN_MC!AM121)</f>
        <v>TOM</v>
      </c>
      <c r="M122" s="140">
        <f>IF(FN_MC!AP121="","*",FN_MC!AP121)</f>
        <v>404</v>
      </c>
      <c r="N122" s="140" t="str">
        <f>IF(FN_MC!AM121="","*",FN_MC!AM121)</f>
        <v>TOM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>
        <f>IF(FN_MC!B131="","*",FN_MC!B131)</f>
        <v>46030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ANTÔNIO (TP-492)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MARCOS (TF-520)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ADENILSON (TP-512)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V42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E40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1389</v>
      </c>
      <c r="C2" s="95" t="s">
        <v>1155</v>
      </c>
      <c r="D2" s="95" t="s">
        <v>1157</v>
      </c>
      <c r="E2" s="95" t="s">
        <v>1390</v>
      </c>
      <c r="F2" s="95" t="s">
        <v>1391</v>
      </c>
      <c r="G2" s="95" t="s">
        <v>1392</v>
      </c>
      <c r="H2" s="95" t="s">
        <v>1393</v>
      </c>
      <c r="I2" s="95" t="s">
        <v>1394</v>
      </c>
      <c r="J2" s="95" t="s">
        <v>1395</v>
      </c>
      <c r="K2" s="130" t="s">
        <v>1396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>
        <f>IF(FN_MC!B114="","*",FN_MC!B114)</f>
        <v>46030</v>
      </c>
      <c r="D112" s="120" t="str">
        <f>IF(FN_MC!D114="","*",FN_MC!D114)</f>
        <v>W70</v>
      </c>
      <c r="E112" s="120" t="str">
        <f>IF(FN_MC!H114="","*",FN_MC!H114)</f>
        <v>TRO</v>
      </c>
      <c r="F112" s="136" t="str">
        <f>IF(FN_MC!M114="","*",FN_MC!M114)</f>
        <v>TSF-TRO</v>
      </c>
      <c r="G112" s="120" t="str">
        <f>IF(FN_MC!I114="","*",FN_MC!I114)</f>
        <v>TGR2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</v>
      </c>
      <c r="G114" s="120" t="str">
        <f>IF(FN_MC!I116="","*",FN_MC!I116)</f>
        <v>TSF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E46</v>
      </c>
      <c r="E117" s="120" t="str">
        <f>IF(FN_MC!H119="","*",FN_MC!H119)</f>
        <v>TCS2</v>
      </c>
      <c r="F117" s="136" t="str">
        <f>IF(FN_MC!M119="","*",FN_MC!M119)</f>
        <v>TCS-TRO</v>
      </c>
      <c r="G117" s="120" t="str">
        <f>IF(FN_MC!I119="","*",FN_MC!I119)</f>
        <v>TRO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V66</v>
      </c>
      <c r="E119" s="120" t="str">
        <f>IF(FN_MC!H121="","*",FN_MC!H121)</f>
        <v>TOM</v>
      </c>
      <c r="F119" s="136" t="str">
        <f>IF(FN_MC!M121="","*",FN_MC!M121)</f>
        <v>TOM</v>
      </c>
      <c r="G119" s="120" t="str">
        <f>IF(FN_MC!I121="","*",FN_MC!I121)</f>
        <v>TCS2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>
        <f>IF(FN_MC!B131="","*",FN_MC!B131)</f>
        <v>46030</v>
      </c>
      <c r="D129" s="120" t="str">
        <f>IF(FN_MC!D131="","*",FN_MC!D131)</f>
        <v>ANTÔNIO (TP-492)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2026-01-07T17:39:03Z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