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49" documentId="120_S{118792C3-22EF-5104-A093-F22BFE3913F3}" xr6:coauthVersionLast="47" xr6:coauthVersionMax="47" xr10:uidLastSave="{C5652580-B0A7-4B40-A4DB-F8F4B754A46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1" i="1" l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<sst xmlns="http://schemas.openxmlformats.org/spreadsheetml/2006/main" count="7619" uniqueCount="1571">
  <si>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</si>
  <si>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</si>
  <si>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</si>
  <si>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</si>
  <si>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</si>
  <si>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</si>
  <si>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</si>
  <si>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</si>
  <si>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</si>
  <si>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</si>
  <si>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</si>
  <si>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</si>
  <si>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</si>
  <si>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</si>
  <si>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</si>
  <si>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</si>
  <si>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</si>
  <si>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</si>
  <si>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</si>
  <si>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</si>
  <si>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</si>
  <si>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</si>
  <si>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</si>
  <si>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</si>
  <si>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</si>
  <si>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</si>
  <si>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</si>
  <si>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</si>
  <si>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</si>
  <si>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</si>
  <si>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</si>
  <si>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</si>
  <si>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</si>
  <si>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</si>
  <si>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</si>
  <si>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</si>
  <si>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</si>
  <si>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</si>
  <si>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</si>
  <si>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</si>
  <si>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</si>
  <si>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</si>
  <si>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</si>
  <si>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</si>
  <si>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</si>
  <si>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</si>
  <si>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</si>
  <si>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</si>
  <si>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</si>
  <si>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</si>
  <si>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</si>
  <si>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</si>
  <si>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</si>
  <si>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</si>
  <si>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</si>
  <si>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</si>
  <si>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</si>
  <si>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</si>
  <si>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</si>
  <si>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</si>
  <si>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</si>
  <si>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</si>
  <si>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</si>
  <si>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</si>
  <si>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</si>
  <si>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</si>
  <si>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</si>
  <si>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</si>
  <si>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</si>
  <si>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</si>
  <si>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</si>
  <si>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</si>
  <si>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</si>
  <si>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</si>
  <si>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</si>
  <si>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</si>
  <si>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</si>
  <si>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</si>
  <si>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</si>
  <si>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</si>
  <si>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</si>
  <si>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</si>
  <si>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</si>
  <si>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</si>
  <si>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</si>
  <si>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</si>
  <si>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</si>
  <si>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</si>
  <si>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</si>
  <si>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</si>
  <si>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</si>
  <si>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</si>
  <si>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</si>
  <si>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</si>
  <si>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</si>
  <si>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</si>
  <si>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</si>
  <si>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</si>
  <si>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</si>
  <si>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</si>
  <si>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</si>
  <si>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</si>
  <si>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</si>
  <si>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</si>
  <si>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</si>
  <si>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</si>
  <si>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</si>
  <si>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</si>
  <si>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</si>
  <si>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</si>
  <si>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</si>
  <si>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</si>
  <si>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</si>
  <si>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</si>
  <si>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</si>
  <si>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</si>
  <si>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</si>
  <si>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</si>
  <si>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</si>
  <si>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</si>
  <si>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</si>
  <si>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</si>
  <si>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</si>
  <si>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</si>
  <si>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</si>
  <si>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</si>
  <si>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</si>
  <si>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</si>
  <si>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</si>
  <si>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</si>
  <si>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</si>
  <si>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</si>
  <si>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</si>
  <si>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</si>
  <si>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</si>
  <si>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</si>
  <si>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</si>
  <si>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</si>
  <si>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</si>
  <si>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</si>
  <si>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</si>
  <si>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</si>
  <si>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</si>
  <si>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</si>
  <si>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</si>
  <si>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</si>
  <si>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</si>
  <si>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</si>
  <si>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</si>
  <si>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</si>
  <si>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</si>
  <si>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</si>
  <si>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</si>
  <si>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</si>
  <si>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</si>
  <si>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</si>
  <si>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</si>
  <si>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</si>
  <si>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</si>
  <si>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</si>
  <si>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</si>
  <si>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</si>
  <si>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</si>
  <si>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</si>
  <si>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</si>
  <si>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</si>
  <si>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</si>
  <si>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</si>
  <si>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</si>
  <si>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</si>
  <si>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</si>
  <si>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</si>
  <si>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</si>
  <si>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</si>
  <si>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</si>
  <si>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</si>
  <si>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</si>
  <si>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</si>
  <si>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</si>
  <si>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</si>
  <si>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</si>
  <si>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</si>
  <si>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</si>
  <si>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</si>
  <si>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</si>
  <si>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</si>
  <si>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</si>
  <si>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</si>
  <si>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</si>
  <si>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</si>
  <si>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</si>
  <si>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</si>
  <si>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</si>
  <si>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</si>
  <si>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</si>
  <si>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</si>
  <si>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</si>
  <si>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</si>
  <si>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</si>
  <si>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</si>
  <si>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</si>
  <si>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</si>
  <si>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</si>
  <si>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</si>
  <si>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</si>
  <si>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</si>
  <si>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</si>
  <si>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</si>
  <si>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</si>
  <si>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</si>
  <si>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</si>
  <si>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</si>
  <si>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</si>
  <si>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</si>
  <si>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</si>
  <si>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</si>
  <si>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</si>
  <si>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</si>
  <si>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</si>
  <si>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</si>
  <si>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</si>
  <si>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</si>
  <si>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</si>
  <si>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</si>
  <si>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</si>
  <si>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</si>
  <si>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</si>
  <si>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</si>
  <si>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</si>
  <si>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</si>
  <si>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</si>
  <si>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</si>
  <si>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</si>
  <si>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</si>
  <si>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</si>
  <si>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</si>
  <si>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</si>
  <si>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</si>
  <si>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</si>
  <si>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</si>
  <si>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</si>
  <si>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</si>
  <si>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</si>
  <si>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</si>
  <si>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</si>
  <si>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</si>
  <si>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</si>
  <si>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</si>
  <si>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</si>
  <si>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</si>
  <si>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</si>
  <si>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</si>
  <si>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</si>
  <si>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</si>
  <si>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</si>
  <si>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</si>
  <si>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</si>
  <si>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</si>
  <si>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</si>
  <si>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</si>
  <si>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</si>
  <si>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</si>
  <si>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</si>
  <si>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</si>
  <si>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</si>
  <si>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</si>
  <si>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</si>
  <si>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</si>
  <si>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</si>
  <si>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</si>
  <si>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</si>
  <si>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</si>
  <si>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</si>
  <si>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</si>
  <si>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</si>
  <si>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</si>
  <si>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</si>
  <si>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</si>
  <si>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</si>
  <si>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</si>
  <si>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</si>
  <si>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</si>
  <si>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</si>
  <si>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</si>
  <si>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</si>
  <si>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</si>
  <si>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</si>
  <si>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</si>
  <si>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</si>
  <si>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</si>
  <si>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</si>
  <si>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</si>
  <si>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</si>
  <si>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</si>
  <si>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</si>
  <si>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</si>
  <si>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</si>
  <si>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</si>
  <si>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</si>
  <si>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</si>
  <si>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</si>
  <si>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</si>
  <si>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</si>
  <si>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</si>
  <si>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</si>
  <si>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</si>
  <si>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</si>
  <si>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</si>
  <si>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</si>
  <si>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</si>
  <si>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</si>
  <si>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</si>
  <si>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</si>
  <si>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</si>
  <si>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</si>
  <si>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</si>
  <si>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</si>
  <si>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</si>
  <si>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</si>
  <si>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</si>
  <si>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</si>
  <si>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</si>
  <si>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</si>
  <si>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</si>
  <si>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</si>
  <si>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</si>
  <si>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</si>
  <si>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</si>
  <si>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</si>
  <si>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</si>
  <si>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</si>
  <si>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</si>
  <si>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</si>
  <si>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</si>
  <si>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</si>
  <si>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</si>
  <si>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</si>
  <si>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</si>
  <si>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</si>
  <si>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</si>
  <si>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</si>
  <si>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</si>
  <si>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</si>
  <si>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</si>
  <si>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</si>
  <si>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</si>
  <si>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</si>
  <si>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</si>
  <si>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</si>
  <si>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</si>
  <si>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</si>
  <si>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</si>
  <si>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</si>
  <si>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</si>
  <si>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</si>
  <si>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</si>
  <si>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</si>
  <si>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</si>
  <si>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</si>
  <si>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</si>
  <si>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</si>
  <si>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</si>
  <si>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</si>
  <si>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</si>
  <si>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</si>
  <si>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</si>
  <si>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</si>
  <si>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</si>
  <si>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</si>
  <si>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</si>
  <si>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</si>
  <si>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</si>
  <si>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</si>
  <si>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</si>
  <si>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</si>
  <si>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</si>
  <si>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</si>
  <si>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</si>
  <si>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</si>
  <si>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</si>
  <si>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</si>
  <si>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</si>
  <si>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</si>
  <si>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</si>
  <si>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</si>
  <si>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</si>
  <si>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</si>
  <si>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</si>
  <si>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</si>
  <si>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</si>
  <si>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</si>
  <si>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</si>
  <si>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</si>
  <si>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</si>
  <si>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</si>
  <si>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</si>
  <si>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</si>
  <si>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</si>
  <si>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</si>
  <si>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</si>
  <si>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</si>
  <si>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</si>
  <si>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</si>
  <si>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</si>
  <si>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</si>
  <si>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</si>
  <si>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</si>
  <si>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</si>
  <si>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</si>
  <si>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</si>
  <si>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</si>
  <si>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</si>
  <si>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</si>
  <si>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</si>
  <si>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</si>
  <si>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</si>
  <si>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</si>
  <si>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</si>
  <si>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</si>
  <si>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</si>
  <si>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</si>
  <si>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</si>
  <si>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</si>
  <si>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</si>
  <si>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</si>
  <si>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</si>
  <si>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</si>
  <si>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</si>
  <si>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</si>
  <si>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</si>
  <si>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</si>
  <si>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</si>
  <si>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</si>
  <si>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</si>
  <si>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</si>
  <si>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</si>
  <si>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</si>
  <si>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</si>
  <si>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</si>
  <si>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</si>
  <si>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</si>
  <si>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</si>
  <si>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</si>
  <si>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</si>
  <si>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</si>
  <si>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</si>
  <si>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</si>
  <si>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</si>
  <si>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</si>
  <si>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</si>
  <si>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</si>
  <si>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</si>
  <si>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</si>
  <si>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</si>
  <si>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</si>
  <si>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</si>
  <si>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</si>
  <si>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</si>
  <si>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</si>
  <si>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</si>
  <si>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</si>
  <si>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</si>
  <si>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</si>
  <si>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</si>
  <si>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</si>
  <si>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</si>
  <si>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</si>
  <si>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</si>
  <si>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</si>
  <si>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</si>
  <si>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</si>
  <si>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</si>
  <si>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</si>
  <si>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</si>
  <si>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</si>
  <si>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</si>
  <si>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</si>
  <si>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</si>
  <si>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</si>
  <si>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</si>
  <si>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</si>
  <si>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</si>
  <si>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</si>
  <si>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</si>
  <si>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</si>
  <si>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</si>
  <si>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</si>
  <si>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</si>
  <si>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</si>
  <si>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</si>
  <si>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</si>
  <si>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</si>
  <si>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</si>
  <si>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</si>
  <si>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</si>
  <si>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</si>
  <si>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</si>
  <si>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</si>
  <si>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</si>
  <si>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</si>
  <si>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</si>
  <si>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</si>
  <si>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</si>
  <si>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</si>
  <si>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</si>
  <si>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</si>
  <si>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</si>
  <si>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</si>
  <si>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</si>
  <si>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</si>
  <si>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</si>
  <si>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</si>
  <si>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</si>
  <si>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</si>
  <si>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</si>
  <si>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</si>
  <si>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</si>
  <si>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</si>
  <si>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</si>
  <si>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</si>
  <si>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</si>
  <si>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</si>
  <si>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</si>
  <si>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</si>
  <si>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</si>
  <si>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</si>
  <si>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</si>
  <si>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</si>
  <si>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</si>
  <si>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</si>
  <si>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</si>
  <si>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</si>
  <si>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</si>
  <si>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</si>
  <si>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</si>
  <si>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</si>
  <si>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</si>
  <si>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</si>
  <si>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</si>
  <si>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</si>
  <si>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</si>
  <si>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</si>
  <si>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</si>
  <si>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</si>
  <si>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</si>
  <si>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</si>
  <si>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</si>
  <si>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</si>
  <si>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</si>
  <si>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</si>
  <si>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</si>
  <si>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</si>
  <si>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</si>
  <si>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</si>
  <si>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</si>
  <si>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</si>
  <si>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</si>
  <si>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</si>
  <si>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</si>
  <si>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</si>
  <si>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</si>
  <si>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</si>
  <si>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</si>
  <si>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</si>
  <si>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</si>
  <si>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</si>
  <si>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</si>
  <si>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</si>
  <si>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</si>
  <si>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</si>
  <si>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</si>
  <si>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</si>
  <si>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</si>
  <si>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</si>
  <si>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</si>
  <si>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</si>
  <si>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</si>
  <si>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</si>
  <si>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</si>
  <si>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</si>
  <si>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</si>
  <si>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</si>
  <si>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</si>
  <si>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</si>
  <si>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</si>
  <si>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</si>
  <si>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</si>
  <si>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</si>
  <si>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</si>
  <si>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</si>
  <si>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</si>
  <si>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</si>
  <si>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</si>
  <si>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</si>
  <si>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</si>
  <si>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</si>
  <si>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</si>
  <si>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</si>
  <si>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</si>
  <si>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</si>
  <si>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</si>
  <si>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</si>
  <si>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</si>
  <si>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</si>
  <si>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</si>
  <si>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</si>
  <si>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</si>
  <si>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</si>
  <si>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</si>
  <si>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</si>
  <si>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</si>
  <si>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</si>
  <si>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</si>
  <si>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</si>
  <si>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</si>
  <si>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</si>
  <si>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</si>
  <si>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</si>
  <si>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</si>
  <si>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</si>
  <si>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</si>
  <si>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</si>
  <si>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</si>
  <si>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</si>
  <si>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</si>
  <si>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</si>
  <si>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</si>
  <si>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</si>
  <si>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</si>
  <si>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</si>
  <si>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</si>
  <si>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</si>
  <si>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</si>
  <si>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</si>
  <si>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</si>
  <si>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</si>
  <si>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</si>
  <si>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</si>
  <si>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</si>
  <si>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</si>
  <si>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</si>
  <si>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</si>
  <si>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</si>
  <si>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</si>
  <si>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</si>
  <si>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</si>
  <si>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</si>
  <si>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</si>
  <si>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</si>
  <si>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</si>
  <si>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</si>
  <si>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</si>
  <si>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</si>
  <si>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</si>
  <si>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</si>
  <si>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</si>
  <si>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</si>
  <si>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</si>
  <si>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</si>
  <si>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</si>
  <si>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</si>
  <si>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</si>
  <si>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</si>
  <si>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</si>
  <si>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</si>
  <si>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</si>
  <si>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</si>
  <si>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</si>
  <si>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</si>
  <si>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</si>
  <si>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</si>
  <si>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</si>
  <si>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</si>
  <si>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</si>
  <si>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</si>
  <si>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</si>
  <si>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</si>
  <si>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</si>
  <si>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</si>
  <si>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</si>
  <si>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</si>
  <si>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</si>
  <si>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</si>
  <si>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</si>
  <si>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</si>
  <si>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</si>
  <si>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</si>
  <si>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</si>
  <si>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</si>
  <si>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</si>
  <si>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</si>
  <si>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</si>
  <si>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</si>
  <si>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</si>
  <si>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</si>
  <si>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</si>
  <si>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</si>
  <si>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</si>
  <si>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</si>
  <si>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</si>
  <si>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</si>
  <si>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</si>
  <si>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</si>
  <si>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</si>
  <si>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</si>
  <si>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</si>
  <si>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</si>
  <si>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</si>
  <si>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</si>
  <si>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</si>
  <si>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</si>
  <si>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</si>
  <si>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</si>
  <si>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</si>
  <si>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</si>
  <si>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</si>
  <si>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</si>
  <si>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</si>
  <si>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</si>
  <si>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</si>
  <si>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</si>
  <si>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</si>
  <si>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</si>
  <si>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</si>
  <si>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</si>
  <si>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</si>
  <si>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</si>
  <si>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</si>
  <si>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</si>
  <si>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</si>
  <si>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</si>
  <si>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</si>
  <si>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</si>
  <si>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</si>
  <si>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</si>
  <si>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</si>
  <si>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</si>
  <si>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</si>
  <si>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</si>
  <si>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</si>
  <si>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</si>
  <si>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</si>
  <si>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</si>
  <si>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</si>
  <si>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</si>
  <si>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</si>
  <si>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</si>
  <si>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</si>
  <si>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</si>
  <si>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</si>
  <si>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</si>
  <si>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</si>
  <si>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</si>
  <si>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</si>
  <si>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</si>
  <si>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</si>
  <si>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</si>
  <si>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</si>
  <si>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</si>
  <si>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</si>
  <si>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</si>
  <si>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</si>
  <si>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</si>
  <si>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</si>
  <si>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</si>
  <si>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</si>
  <si>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</si>
  <si>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</si>
  <si>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</si>
  <si>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</si>
  <si>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</si>
  <si>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</si>
  <si>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</si>
  <si>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</si>
  <si>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</si>
  <si>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</si>
  <si>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</si>
  <si>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</si>
  <si>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</si>
  <si>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</si>
  <si>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</si>
  <si>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</si>
  <si>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</si>
  <si>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</si>
  <si>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</si>
  <si>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</si>
  <si>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</si>
  <si>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</si>
  <si>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</si>
  <si>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</si>
  <si>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</si>
  <si>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</si>
  <si>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</si>
  <si>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</si>
  <si>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</si>
  <si>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</si>
  <si>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</si>
  <si>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</si>
  <si>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</si>
  <si>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</si>
  <si>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</si>
  <si>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</si>
  <si>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</si>
  <si>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</si>
  <si>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</si>
  <si>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</si>
  <si>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</si>
  <si>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</si>
  <si>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</si>
  <si>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</si>
  <si>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</si>
  <si>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</si>
  <si>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</si>
  <si>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</si>
  <si>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</si>
  <si>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</si>
  <si>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</si>
  <si>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</si>
  <si>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</si>
  <si>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</si>
  <si>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</si>
  <si>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</si>
  <si>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</si>
  <si>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</si>
  <si>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</si>
  <si>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</si>
  <si>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</si>
  <si>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</si>
  <si>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</si>
  <si>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</si>
  <si>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</si>
  <si>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</si>
  <si>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</si>
  <si>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</si>
  <si>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</si>
  <si>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</si>
  <si>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</si>
  <si>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</si>
  <si>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</si>
  <si>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</si>
  <si>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</si>
  <si>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</si>
  <si>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</si>
  <si>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</si>
  <si>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</si>
  <si>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</si>
  <si>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</si>
  <si>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</si>
  <si>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</si>
  <si>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</si>
  <si>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</si>
  <si>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</si>
  <si>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</si>
  <si>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</si>
  <si>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</si>
  <si>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</si>
  <si>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</si>
  <si>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</si>
  <si>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</si>
  <si>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</si>
  <si>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</si>
  <si>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</si>
  <si>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</si>
  <si>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</si>
  <si>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</si>
  <si>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</si>
  <si>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</si>
  <si>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</si>
  <si>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</si>
  <si>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</si>
  <si>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</si>
  <si>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</si>
  <si>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</si>
  <si>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</si>
  <si>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</si>
  <si>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</si>
  <si>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</si>
  <si>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</si>
  <si>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</si>
  <si>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</si>
  <si>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</si>
  <si>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</si>
  <si>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</si>
  <si>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</si>
  <si>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</si>
  <si>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</si>
  <si>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</si>
  <si>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</si>
  <si>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</si>
  <si>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</si>
  <si>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</si>
  <si>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</si>
  <si>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</si>
  <si>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</si>
  <si>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</si>
  <si>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</si>
  <si>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</si>
  <si>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</si>
  <si>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</si>
  <si>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</si>
  <si>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</si>
  <si>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</si>
  <si>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</si>
  <si>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</si>
  <si>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</si>
  <si>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</si>
  <si>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</si>
  <si>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</si>
  <si>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</si>
  <si>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</si>
  <si>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</si>
  <si>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</si>
  <si>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</si>
  <si>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</si>
  <si>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</si>
  <si>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</si>
  <si>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</si>
  <si>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</si>
  <si>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</si>
  <si>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</si>
  <si>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</si>
  <si>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</si>
  <si>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</si>
  <si>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</si>
  <si>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</si>
  <si>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</si>
  <si>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</si>
  <si>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</si>
  <si>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</si>
  <si>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</si>
  <si>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</si>
  <si>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</si>
  <si>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</si>
  <si>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</si>
  <si>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</si>
  <si>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</si>
  <si>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</si>
  <si>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</si>
  <si>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</si>
  <si>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</si>
  <si>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</si>
  <si>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</si>
  <si>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</si>
  <si>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</si>
  <si>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</si>
  <si>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</si>
  <si>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</si>
  <si>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</si>
  <si>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</si>
  <si>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</si>
  <si>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</si>
  <si>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</si>
  <si>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</si>
  <si>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</si>
  <si>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</si>
  <si>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</si>
  <si>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</si>
  <si>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</si>
  <si>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</si>
  <si>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</si>
  <si>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</si>
  <si>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</si>
  <si>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</si>
  <si>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</si>
  <si>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</si>
  <si>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</si>
  <si>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</si>
  <si>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</si>
  <si>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</si>
  <si>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</si>
  <si>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</si>
  <si>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</si>
  <si>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</si>
  <si>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</si>
  <si>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</si>
  <si>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</si>
  <si>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</si>
  <si>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</si>
  <si>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</si>
  <si>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</si>
  <si>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</si>
  <si>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</si>
  <si>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</si>
  <si>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</si>
  <si>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</si>
  <si>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</si>
  <si>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</si>
  <si>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</si>
  <si>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</si>
  <si>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</si>
  <si>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</si>
  <si>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</si>
  <si>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</si>
  <si>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</si>
  <si>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</si>
  <si>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</si>
  <si>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</si>
  <si>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</si>
  <si>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</si>
  <si>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</si>
  <si>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</si>
  <si>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</si>
  <si>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</si>
  <si>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</si>
  <si>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</si>
  <si>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</si>
  <si>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</si>
  <si>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</si>
  <si>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</si>
  <si>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</si>
  <si>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</si>
  <si>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</si>
  <si>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</si>
  <si>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</si>
  <si>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</si>
  <si>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</si>
  <si>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</si>
  <si>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</si>
  <si>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</si>
  <si>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</si>
  <si>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</si>
  <si>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</si>
  <si>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</si>
  <si>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</si>
  <si>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</si>
  <si>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</si>
  <si>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</si>
  <si>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</si>
  <si>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</si>
  <si>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</si>
  <si>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</si>
  <si>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</si>
  <si>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</si>
  <si>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</si>
  <si>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</si>
  <si>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</si>
  <si>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</si>
  <si>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</si>
  <si>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</si>
  <si>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</si>
  <si>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</si>
  <si>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</si>
  <si>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</si>
  <si>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</si>
  <si>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</si>
  <si>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</si>
  <si>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</si>
  <si>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</si>
  <si>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</si>
  <si>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</si>
  <si>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</si>
  <si>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</si>
  <si>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</si>
  <si>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</si>
  <si>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</si>
  <si>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</si>
  <si>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</si>
  <si>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</si>
  <si>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</si>
  <si>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</si>
  <si>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</si>
  <si>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</si>
  <si>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</si>
  <si>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</si>
  <si>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</si>
  <si>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</si>
  <si>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</si>
  <si>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</si>
  <si>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</si>
  <si>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</si>
  <si>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</si>
  <si>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</si>
  <si>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</si>
  <si>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</si>
  <si>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</si>
  <si>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</si>
  <si>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</si>
  <si>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</si>
  <si>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</si>
  <si>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</si>
  <si>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</si>
  <si>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</si>
  <si>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</si>
  <si>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</si>
  <si>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</si>
  <si>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</si>
  <si>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</si>
  <si>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</si>
  <si>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</si>
  <si>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</si>
  <si>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</si>
  <si>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</si>
  <si>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</si>
  <si>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</si>
  <si>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</si>
  <si>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</si>
  <si>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</si>
  <si>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</si>
  <si>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</si>
  <si>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</si>
  <si>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</si>
  <si>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</si>
  <si>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</si>
  <si>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</si>
  <si>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</si>
  <si>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</si>
  <si>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</si>
  <si>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</si>
  <si>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</si>
  <si>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</si>
  <si>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</si>
  <si>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</si>
  <si>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</si>
  <si>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</si>
  <si>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</si>
  <si>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</si>
  <si>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</si>
  <si>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</si>
  <si>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</si>
  <si>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</si>
  <si>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</si>
  <si>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</si>
  <si>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</si>
  <si>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</si>
  <si>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</si>
  <si>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</si>
  <si>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</si>
  <si>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</si>
  <si>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</si>
  <si>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</si>
  <si>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</si>
  <si>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</si>
  <si>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</si>
  <si>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</si>
  <si>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</si>
  <si>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</si>
  <si>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</si>
  <si>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</si>
  <si>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</si>
  <si>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</si>
  <si>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</si>
  <si>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</si>
  <si>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</si>
  <si>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</si>
  <si>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</si>
  <si>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</si>
  <si>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</si>
  <si>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</si>
  <si>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</si>
  <si>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</si>
  <si>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</si>
  <si>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</si>
  <si>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</si>
  <si>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</si>
  <si>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</si>
  <si>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</si>
  <si>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</si>
  <si>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</si>
  <si>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</si>
  <si>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</si>
  <si>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</si>
  <si>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</si>
  <si>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</si>
  <si>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</si>
  <si>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</si>
  <si>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</si>
  <si>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</si>
  <si>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</si>
  <si>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</si>
  <si>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</si>
  <si>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</si>
  <si>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</si>
  <si>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</si>
  <si>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</si>
  <si>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</si>
  <si>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</si>
  <si>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</si>
  <si>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</si>
  <si>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</si>
  <si>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</si>
  <si>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</si>
  <si>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</si>
  <si>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</si>
  <si>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</si>
  <si>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</si>
  <si>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</si>
  <si>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</si>
  <si>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</si>
  <si>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</si>
  <si>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</si>
  <si>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</si>
  <si>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</si>
  <si>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</si>
  <si>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</si>
  <si>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</si>
  <si>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</si>
  <si>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</si>
  <si>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</si>
  <si>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</si>
  <si>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</si>
  <si>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</si>
  <si>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</si>
  <si>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</si>
  <si>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</si>
  <si>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</si>
  <si>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</si>
  <si>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</si>
  <si>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</si>
  <si>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</si>
  <si>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</si>
  <si>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</si>
  <si>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</si>
  <si>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</si>
  <si>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</si>
  <si>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</si>
  <si>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</si>
  <si>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</si>
  <si>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</si>
  <si>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</si>
  <si>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</si>
  <si>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</si>
  <si>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</si>
  <si>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</si>
  <si>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</si>
  <si>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</si>
  <si>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</si>
  <si>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</si>
  <si>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</si>
  <si>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</si>
  <si>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</si>
  <si>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</si>
  <si>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</si>
  <si>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</si>
  <si>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</si>
  <si>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</si>
  <si>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</si>
  <si>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</si>
  <si>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</si>
  <si>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</si>
  <si>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</si>
  <si>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</si>
  <si>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</si>
  <si>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</si>
  <si>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</si>
  <si>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</si>
  <si>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</si>
  <si>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</si>
  <si>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</si>
  <si>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</si>
  <si>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</si>
  <si>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</si>
  <si>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</si>
  <si>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</si>
  <si>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</si>
  <si>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</si>
  <si>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</si>
  <si>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</si>
  <si>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</si>
  <si>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</si>
  <si>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</si>
  <si>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</si>
  <si>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</si>
  <si>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</si>
  <si>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</si>
  <si>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</si>
  <si>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</si>
  <si>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</si>
  <si>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</si>
  <si>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</si>
  <si>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</si>
  <si>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</si>
  <si>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</si>
  <si>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</si>
  <si>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</si>
  <si>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</si>
  <si>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</si>
  <si>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</si>
  <si>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</si>
  <si>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</si>
  <si>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</si>
  <si>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</si>
  <si>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</si>
  <si>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</si>
  <si>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</si>
  <si>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</si>
  <si>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</si>
  <si>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</si>
  <si>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</si>
  <si>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</si>
  <si>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</si>
  <si>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</si>
  <si>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</si>
  <si>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</si>
  <si>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</si>
  <si>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</si>
  <si>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</si>
  <si>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</si>
  <si>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</si>
  <si>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</si>
  <si>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</si>
  <si>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</si>
  <si>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</si>
  <si>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</si>
  <si>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</si>
  <si>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</si>
  <si>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</si>
  <si>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</si>
  <si>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</si>
  <si>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</si>
  <si>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</si>
  <si>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</si>
  <si>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</si>
  <si>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</si>
  <si>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</si>
  <si>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</si>
  <si>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</si>
  <si>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</si>
  <si>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</si>
  <si>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</si>
  <si>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</si>
  <si>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</si>
  <si>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</si>
  <si>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</si>
  <si>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</si>
  <si>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</si>
  <si>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</si>
  <si>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</si>
  <si>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</si>
  <si>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</si>
  <si>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</si>
  <si>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</si>
  <si>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</si>
  <si>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</si>
  <si>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</si>
  <si>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</si>
  <si>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</si>
  <si>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</si>
  <si>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</si>
  <si>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</si>
  <si>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</si>
  <si>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</si>
  <si>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</si>
  <si>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</si>
  <si>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</si>
  <si>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</si>
  <si>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</si>
  <si>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</si>
  <si>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</si>
  <si>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</si>
  <si>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</si>
  <si>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</si>
  <si>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</si>
  <si>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</si>
  <si>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</si>
  <si>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</si>
  <si>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</si>
  <si>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</si>
  <si>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</si>
  <si>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</si>
  <si>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</si>
  <si>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</si>
  <si>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</si>
  <si>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</si>
  <si>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</si>
  <si>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</si>
  <si>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</si>
  <si>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</si>
  <si>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</si>
  <si>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</si>
  <si>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</si>
  <si>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</si>
  <si>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</si>
  <si>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</si>
  <si>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</si>
  <si>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</si>
  <si>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</si>
  <si>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</si>
  <si>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</si>
  <si>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</si>
  <si>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</si>
  <si>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</si>
  <si>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</si>
  <si>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</si>
  <si>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</si>
  <si>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</si>
  <si>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</si>
  <si>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</si>
  <si>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</si>
  <si>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</si>
  <si>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</si>
  <si>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</si>
  <si>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</si>
  <si>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</si>
  <si>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</si>
  <si>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</si>
  <si>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</si>
  <si>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</si>
  <si>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</si>
  <si>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</si>
  <si>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</si>
  <si>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</si>
  <si>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</si>
  <si>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</si>
  <si>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</si>
  <si>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</si>
  <si>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</si>
  <si>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</si>
  <si>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</si>
  <si>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</si>
  <si>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</si>
  <si>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</si>
  <si>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</si>
  <si>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</si>
  <si>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</si>
  <si>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</si>
  <si>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</si>
  <si>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</si>
  <si>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</si>
  <si>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</si>
  <si>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</si>
  <si>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</si>
  <si>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</si>
  <si>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</si>
  <si>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</si>
  <si>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</si>
  <si>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</si>
  <si>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</si>
  <si>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</si>
  <si>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</si>
  <si>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</si>
  <si>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</si>
  <si>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</si>
  <si>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</si>
  <si>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</si>
  <si>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</si>
  <si>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</si>
  <si>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</si>
  <si>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</si>
  <si>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</si>
  <si>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</si>
  <si>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</si>
  <si>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</si>
  <si>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</si>
  <si>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</si>
  <si>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</si>
  <si>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</si>
  <si>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</si>
  <si>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</si>
  <si>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</si>
  <si>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</si>
  <si>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</si>
  <si>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</si>
  <si>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</si>
  <si>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</si>
  <si>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</si>
  <si>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</si>
  <si>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</si>
  <si>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</si>
  <si>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</si>
  <si>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</si>
  <si>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</si>
  <si>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</si>
  <si>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</si>
  <si>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</si>
  <si>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</si>
  <si>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</si>
  <si>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</si>
  <si>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</si>
  <si>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</si>
  <si>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</si>
  <si>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</si>
  <si>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</si>
  <si>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</si>
  <si>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</si>
  <si>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</si>
  <si>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</si>
  <si>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</si>
  <si>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</si>
  <si>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</si>
  <si>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</si>
  <si>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</si>
  <si>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</si>
  <si>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</si>
  <si>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</si>
  <si>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</si>
  <si>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</si>
  <si>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</si>
  <si>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</si>
  <si>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</si>
  <si>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</si>
  <si>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</si>
  <si>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</si>
  <si>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</si>
  <si>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</si>
  <si>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</si>
  <si>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</si>
  <si>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</si>
  <si>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</si>
  <si>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</si>
  <si>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</si>
  <si>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</si>
  <si>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ZYU-1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</si>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</sst>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336" activePane="topRight" state="frozen"/>
      <selection pane="topRight" activeCell="Q362" sqref="Q3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W59</v>
      </c>
      <c r="B362" s="102"/>
      <c r="C362" s="135" t="str">
        <f>IF(BS_CONTROLE[[#This Row],[DATA]]="","",WEEKNUM(BS_CONTROLE[[#This Row],[DATA]]))</f>
        <v/>
      </c>
      <c r="D362" s="104" t="s">
        <v>790</v>
      </c>
      <c r="E362" s="159">
        <v>356</v>
      </c>
      <c r="F362" s="126" t="s">
        <v>721</v>
      </c>
      <c r="G362" s="142" t="str">
        <f>IF(D362="","*",VLOOKUP(F362,BS_ATIVIDADE[],3,FALSE))</f>
        <v>DORMENTE - DESCARGA</v>
      </c>
      <c r="H362" s="106" t="s">
        <v>1501</v>
      </c>
      <c r="I362" s="106" t="s">
        <v>1501</v>
      </c>
      <c r="J362" s="105">
        <v>56</v>
      </c>
      <c r="K362" s="105">
        <v>253.7</v>
      </c>
      <c r="L362" s="105">
        <v>252.042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2" s="106">
        <v>0.35416666666666669</v>
      </c>
      <c r="P362" s="106">
        <v>6.25E-2</v>
      </c>
      <c r="Q362" s="105"/>
      <c r="R362" s="10" t="str">
        <f>IFERROR(_xlfn.XLOOKUP(F362, BS_ATIVIDADE[ATIVIDADE],BS_ATIVIDADE[UNIDADE] ), "*")</f>
        <v>Nº DE DORMENTES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DESCARGA - DORMENTE</v>
      </c>
      <c r="AJ362" s="9" t="str">
        <f>IF(BS_CONTROLE[[#This Row],[Atividade]]=0, "-", BS_CONTROLE[[#This Row],[Atividade]])</f>
        <v>PDM - DESCARGA - DORMENTE</v>
      </c>
      <c r="AK362" s="31" t="str">
        <f>BS_CONTROLE[[#This Row],[Local - Partida]]</f>
        <v>ZYU-1</v>
      </c>
      <c r="AL362" s="31" t="str">
        <f>BS_CONTROLE[[#This Row],[Local - Encerramento]]</f>
        <v>ZYU-1</v>
      </c>
      <c r="AM362" s="105" t="str">
        <f>IF(BS_CONTROLE[[#This Row],[Entre - Estações]]=0, "-", BS_CONTROLE[[#This Row],[Entre - Estações]])</f>
        <v>ZQB-ZBV</v>
      </c>
      <c r="AN362" s="105" t="str">
        <f>IF(BS_CONTROLE[[#This Row],[SB]]=0, "-", BS_CONTROLE[[#This Row],[SB]])</f>
        <v>ZQBZBL</v>
      </c>
      <c r="AO362" s="105">
        <f>IF(BS_CONTROLE[[#This Row],[SUB]]=0, "-", BS_CONTROLE[[#This Row],[SUB]])</f>
        <v>56</v>
      </c>
      <c r="AP362" s="105">
        <f>BS_CONTROLE[[#This Row],[KM - Inicio]]</f>
        <v>253.7</v>
      </c>
      <c r="AQ362" s="105">
        <f>BS_CONTROLE[[#This Row],[KM - Inicio]]</f>
        <v>253.7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Nº DE DORMENTES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1505</v>
      </c>
      <c r="C4" s="160" t="s">
        <v>1506</v>
      </c>
      <c r="D4" s="160" t="s">
        <v>1507</v>
      </c>
      <c r="E4" s="160" t="s">
        <v>1508</v>
      </c>
      <c r="F4" s="160" t="s">
        <v>4</v>
      </c>
      <c r="G4" s="160" t="s">
        <v>1509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1510</v>
      </c>
      <c r="C6" s="161">
        <v>407867</v>
      </c>
      <c r="D6" s="161" t="s">
        <v>1511</v>
      </c>
      <c r="E6" s="161" t="s">
        <v>789</v>
      </c>
      <c r="F6" s="161" t="s">
        <v>1512</v>
      </c>
      <c r="G6" s="162"/>
    </row>
    <row r="7" spans="2:7">
      <c r="B7" s="161" t="s">
        <v>1513</v>
      </c>
      <c r="C7" s="161">
        <v>293644</v>
      </c>
      <c r="D7" s="161" t="s">
        <v>1514</v>
      </c>
      <c r="E7" s="161" t="s">
        <v>789</v>
      </c>
      <c r="F7" s="161" t="s">
        <v>1512</v>
      </c>
      <c r="G7" s="162"/>
    </row>
    <row r="8" spans="2:7">
      <c r="B8" s="161" t="s">
        <v>1515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1516</v>
      </c>
      <c r="C9" s="161">
        <v>256790</v>
      </c>
      <c r="D9" s="161" t="s">
        <v>1517</v>
      </c>
      <c r="E9" s="161" t="s">
        <v>790</v>
      </c>
      <c r="F9" s="161" t="s">
        <v>1518</v>
      </c>
      <c r="G9" s="162">
        <v>46357</v>
      </c>
    </row>
    <row r="10" spans="2:7">
      <c r="B10" s="161" t="s">
        <v>1519</v>
      </c>
      <c r="C10" s="161">
        <v>265193</v>
      </c>
      <c r="D10" s="161" t="s">
        <v>1520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1521</v>
      </c>
      <c r="C11" s="161">
        <v>293716</v>
      </c>
      <c r="D11" s="161" t="s">
        <v>1522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1523</v>
      </c>
      <c r="C12" s="161">
        <v>257258</v>
      </c>
      <c r="D12" s="161" t="s">
        <v>1524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1525</v>
      </c>
      <c r="C13" s="161">
        <v>371147</v>
      </c>
      <c r="D13" s="161" t="s">
        <v>1526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1527</v>
      </c>
      <c r="C14" s="161">
        <v>259230</v>
      </c>
      <c r="D14" s="161" t="s">
        <v>1528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1530</v>
      </c>
      <c r="C16" s="161">
        <v>258542</v>
      </c>
      <c r="D16" s="161" t="s">
        <v>1531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1532</v>
      </c>
      <c r="C17" s="161">
        <v>257050</v>
      </c>
      <c r="D17" s="161" t="s">
        <v>1533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1535</v>
      </c>
      <c r="D4" s="163" t="s">
        <v>1536</v>
      </c>
      <c r="E4" s="163" t="s">
        <v>1537</v>
      </c>
      <c r="F4" s="160" t="s">
        <v>1538</v>
      </c>
      <c r="G4" s="163" t="s">
        <v>1539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1542</v>
      </c>
      <c r="G9" s="167" t="s">
        <v>1543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1540</v>
      </c>
      <c r="G10" s="167"/>
    </row>
    <row r="11" spans="2:7" hidden="1">
      <c r="B11" s="191" t="s">
        <v>1544</v>
      </c>
      <c r="C11" s="191">
        <v>9038</v>
      </c>
      <c r="D11" s="192">
        <v>46085</v>
      </c>
      <c r="E11" s="191">
        <v>10520</v>
      </c>
      <c r="F11" s="193" t="s">
        <v>1545</v>
      </c>
      <c r="G11" s="191"/>
    </row>
    <row r="12" spans="2:7">
      <c r="B12" s="167" t="s">
        <v>1544</v>
      </c>
      <c r="C12" s="167">
        <v>9059</v>
      </c>
      <c r="D12" s="168">
        <v>46091</v>
      </c>
      <c r="E12" s="167">
        <v>15600</v>
      </c>
      <c r="F12" s="169" t="s">
        <v>1540</v>
      </c>
      <c r="G12" s="167" t="s">
        <v>1546</v>
      </c>
    </row>
    <row r="13" spans="2:7">
      <c r="B13" s="167" t="s">
        <v>709</v>
      </c>
      <c r="C13" s="167" t="s">
        <v>1547</v>
      </c>
      <c r="D13" s="168">
        <v>46086</v>
      </c>
      <c r="E13" s="167">
        <v>8.5</v>
      </c>
      <c r="F13" s="169" t="s">
        <v>1548</v>
      </c>
      <c r="G13" s="167"/>
    </row>
    <row r="14" spans="2:7">
      <c r="B14" s="167" t="s">
        <v>709</v>
      </c>
      <c r="C14" s="167" t="s">
        <v>1549</v>
      </c>
      <c r="D14" s="168">
        <v>46086</v>
      </c>
      <c r="E14" s="167">
        <v>10000</v>
      </c>
      <c r="F14" s="169" t="s">
        <v>1548</v>
      </c>
      <c r="G14" s="167"/>
    </row>
    <row r="15" spans="2:7">
      <c r="B15" s="167" t="s">
        <v>709</v>
      </c>
      <c r="C15" s="167" t="s">
        <v>1550</v>
      </c>
      <c r="D15" s="168">
        <v>46086</v>
      </c>
      <c r="E15" s="167">
        <v>8000</v>
      </c>
      <c r="F15" s="169" t="s">
        <v>1548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1552</v>
      </c>
      <c r="C2" s="121" t="s">
        <v>946</v>
      </c>
      <c r="D2" s="76" t="s">
        <v>948</v>
      </c>
      <c r="E2" s="76" t="s">
        <v>1553</v>
      </c>
      <c r="F2" s="99" t="s">
        <v>1554</v>
      </c>
      <c r="G2" s="76" t="s">
        <v>1555</v>
      </c>
      <c r="H2" s="76" t="s">
        <v>1556</v>
      </c>
      <c r="I2" s="76" t="s">
        <v>1557</v>
      </c>
      <c r="J2" s="76" t="s">
        <v>1558</v>
      </c>
      <c r="K2" s="78" t="s">
        <v>1559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W59</v>
      </c>
      <c r="E358" s="94" t="str">
        <f>IF(SP_SUL!H362="","*",SP_SUL!H362)</f>
        <v>ZYU-1</v>
      </c>
      <c r="F358" s="100" t="str">
        <f>IF(SP_SUL!M362="","*",SP_SUL!M362)</f>
        <v>ZQB-ZBV</v>
      </c>
      <c r="G358" s="95" t="str">
        <f>IF(SP_SUL!I362="","*",SP_SUL!I362)</f>
        <v>ZYU-1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1560</v>
      </c>
      <c r="V1" s="234"/>
      <c r="W1" s="234"/>
    </row>
    <row r="2" spans="1:23" ht="15" customHeight="1">
      <c r="A2" s="87" t="s">
        <v>1561</v>
      </c>
      <c r="B2" s="87" t="s">
        <v>1562</v>
      </c>
      <c r="C2" s="87" t="s">
        <v>376</v>
      </c>
      <c r="D2" s="88" t="s">
        <v>961</v>
      </c>
      <c r="E2" s="88" t="s">
        <v>4</v>
      </c>
      <c r="F2" s="88" t="s">
        <v>1563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ZBV-ZKE</v>
      </c>
      <c r="F359" s="145" t="str">
        <f>IF(SP_SUL!B362="","*",SP_SUL!B362)</f>
        <v>*</v>
      </c>
      <c r="G359" s="145" t="str">
        <f>IF(SP_SUL!D362="","*",SP_SUL!D362)</f>
        <v>W59</v>
      </c>
      <c r="H359" s="145" t="str">
        <f>IF(SP_SUL!F362="","*",SP_SUL!F362)</f>
        <v>PDM - DESCARGA - DORMENTE</v>
      </c>
      <c r="I359" s="145" t="str">
        <f>IF(SP_SUL!H362="","*",SP_SUL!H362)</f>
        <v>ZYU-1</v>
      </c>
      <c r="J359" s="145" t="str">
        <f>IF(SP_SUL!I362="","*",SP_SUL!I362)</f>
        <v>ZYU-1</v>
      </c>
      <c r="K359" s="139" t="str">
        <f>IF(SP_SUL!M362="","*",SP_SUL!M362)</f>
        <v>ZQB-ZBV</v>
      </c>
      <c r="L359" s="139" t="str">
        <f>IF(SP_SUL!N362="","*",SP_SUL!N362)</f>
        <v>ZQBZBL</v>
      </c>
      <c r="M359" s="140">
        <f>IF(SP_SUL!J362="","*",SP_SUL!J362)</f>
        <v>56</v>
      </c>
      <c r="N359" s="144">
        <f>IF(SP_SUL!K362="","*",SP_SUL!K362)</f>
        <v>253.7</v>
      </c>
      <c r="O359" s="144">
        <f>IF(SP_SUL!L362="","*",SP_SUL!L362)</f>
        <v>252.042</v>
      </c>
      <c r="P359" s="143">
        <f>IF(SP_SUL!O362="","*",SP_SUL!O362)</f>
        <v>0.35416666666666669</v>
      </c>
      <c r="Q359" s="143">
        <f>IF(SP_SUL!P362="","*",SP_SUL!P362)</f>
        <v>6.25E-2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1565</v>
      </c>
      <c r="D5" s="236"/>
      <c r="E5" s="236"/>
      <c r="F5" s="236"/>
      <c r="G5" s="236"/>
      <c r="H5" s="236"/>
      <c r="I5" s="236"/>
      <c r="J5" s="237"/>
      <c r="K5" s="238" t="s">
        <v>1566</v>
      </c>
      <c r="L5" s="239"/>
      <c r="M5" s="239"/>
      <c r="N5" s="239"/>
      <c r="O5" s="240" t="s">
        <v>1567</v>
      </c>
      <c r="P5" s="241"/>
    </row>
    <row r="6" spans="1:16" s="74" customFormat="1" ht="15" customHeight="1">
      <c r="A6" s="66" t="s">
        <v>1563</v>
      </c>
      <c r="B6" s="75" t="s">
        <v>1562</v>
      </c>
      <c r="C6" s="76" t="s">
        <v>961</v>
      </c>
      <c r="D6" s="77" t="s">
        <v>962</v>
      </c>
      <c r="E6" s="76" t="s">
        <v>1568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1569</v>
      </c>
      <c r="M6" s="80" t="s">
        <v>576</v>
      </c>
      <c r="N6" s="81" t="s">
        <v>956</v>
      </c>
      <c r="O6" s="158" t="s">
        <v>999</v>
      </c>
      <c r="P6" s="133" t="s">
        <v>1570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SP SUL</v>
      </c>
      <c r="D362" s="83" t="str">
        <f>IF(SP_SUL!T362="","*",SP_SUL!T362)</f>
        <v>ZBV-ZKE</v>
      </c>
      <c r="E362" s="83" t="str">
        <f>IF(SP_SUL!D362="","*",SP_SUL!D362)</f>
        <v>W59</v>
      </c>
      <c r="F362" s="83" t="str">
        <f>IF(SP_SUL!H362="","*",SP_SUL!H362)</f>
        <v>ZYU-1</v>
      </c>
      <c r="G362" s="83" t="str">
        <f>IF(SP_SUL!M362="","*",SP_SUL!M362)</f>
        <v>ZQB-ZBV</v>
      </c>
      <c r="H362" s="116">
        <f>IF(SP_SUL!K362="","*",SP_SUL!K362)</f>
        <v>253.7</v>
      </c>
      <c r="I362" s="113">
        <f>IF(SP_SUL!O362="","*",SP_SUL!O362)</f>
        <v>0.35416666666666669</v>
      </c>
      <c r="J362" s="113">
        <f>IF(SP_SUL!P362="","*",SP_SUL!P362)</f>
        <v>6.25E-2</v>
      </c>
      <c r="K362" s="83" t="str">
        <f>IF(SP_SUL!AK362="","*",SP_SUL!AK362)</f>
        <v>ZYU-1</v>
      </c>
      <c r="L362" s="83" t="str">
        <f>IF(SP_SUL!AM362="","*",SP_SUL!AM362)</f>
        <v>ZQB-ZBV</v>
      </c>
      <c r="M362" s="83">
        <f>IF(SP_SUL!AP362="","*",SP_SUL!AP362)</f>
        <v>253.7</v>
      </c>
      <c r="N362" s="83" t="str">
        <f>IF(SP_SUL!AM362="","*",SP_SUL!AM362)</f>
        <v>ZQB-ZBV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2026-03-11T16:37:39Z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