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51" documentId="8_{B6337239-1A00-434D-AAD0-422EA1FEB5AE}" xr6:coauthVersionLast="47" xr6:coauthVersionMax="47" xr10:uidLastSave="{ABE7E8B1-4DFB-498C-BA62-0B44413211A6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1" i="1" l="1"/>
  <c r="U72" i="1"/>
  <c r="T71" i="1" a="1"/>
  <c r="T71" i="1"/>
  <c r="M69" i="1" a="1"/>
  <c r="M69" i="1"/>
  <c r="U67" i="1"/>
  <c r="T67" i="1" a="1"/>
  <c r="T67" i="1" s="1"/>
  <c r="S67" i="1" a="1"/>
  <c r="S67" i="1" s="1"/>
  <c r="R67" i="1"/>
  <c r="N67" i="1" a="1"/>
  <c r="N67" i="1" s="1"/>
  <c r="G67" i="1"/>
  <c r="N77" i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E69" i="12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09" i="1" l="1" a="1"/>
  <c r="BD309" i="1" s="1"/>
  <c r="BD308" i="1" a="1"/>
  <c r="BD308" i="1" s="1"/>
  <c r="BE307" i="1"/>
  <c r="BE306" i="1"/>
  <c r="BD305" i="1" a="1"/>
  <c r="BD305" i="1" s="1"/>
  <c r="BE304" i="1"/>
  <c r="AJ67" i="1"/>
  <c r="AJ71" i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<sst xmlns="http://schemas.openxmlformats.org/spreadsheetml/2006/main" count="4817" uniqueCount="1345">
  <si>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</si>
  <si>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</si>
  <si>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</si>
  <si>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</si>
  <si>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</si>
  <si>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</si>
  <si>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</si>
  <si>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</si>
  <si>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</si>
  <si>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</si>
  <si>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</si>
  <si>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</si>
  <si>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</si>
  <si>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</si>
  <si>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</si>
  <si>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</si>
  <si>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</si>
  <si>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</si>
  <si>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</si>
  <si>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</si>
  <si>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</si>
  <si>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</si>
  <si>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</si>
  <si>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</si>
  <si>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</si>
  <si>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</si>
  <si>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</si>
  <si>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</si>
  <si>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</si>
  <si>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</si>
  <si>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</si>
  <si>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</si>
  <si>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</si>
  <si>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</si>
  <si>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</si>
  <si>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</si>
  <si>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</si>
  <si>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</si>
  <si>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</si>
  <si>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</si>
  <si>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</si>
  <si>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</si>
  <si>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</si>
  <si>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</si>
  <si>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</si>
  <si>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</si>
  <si>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</si>
  <si>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</si>
  <si>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</si>
  <si>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</si>
  <si>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</si>
  <si>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</si>
  <si>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</si>
  <si>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</si>
  <si>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</si>
  <si>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</si>
  <si>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</si>
  <si>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</si>
  <si>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</si>
  <si>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</si>
  <si>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</si>
  <si>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</si>
  <si>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</si>
  <si>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</si>
  <si>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</si>
  <si>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</si>
  <si>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</si>
  <si>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</si>
  <si>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</si>
  <si>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</si>
  <si>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</si>
  <si>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</si>
  <si>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</si>
  <si>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</si>
  <si>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</si>
  <si>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</si>
  <si>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</si>
  <si>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</si>
  <si>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</si>
  <si>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</si>
  <si>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</si>
  <si>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</si>
  <si>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</si>
  <si>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</si>
  <si>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</si>
  <si>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</si>
  <si>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</si>
  <si>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</si>
  <si>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</si>
  <si>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</si>
  <si>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</si>
  <si>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</si>
  <si>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</si>
  <si>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</si>
  <si>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</si>
  <si>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</si>
  <si>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</si>
  <si>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</si>
  <si>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</si>
  <si>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</si>
  <si>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</si>
  <si>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</si>
  <si>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</si>
  <si>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</si>
  <si>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</si>
  <si>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</si>
  <si>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</si>
  <si>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</si>
  <si>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</si>
  <si>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</si>
  <si>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</si>
  <si>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</si>
  <si>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</si>
  <si>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</si>
  <si>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</si>
  <si>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</si>
  <si>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</si>
  <si>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</si>
  <si>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</si>
  <si>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</si>
  <si>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</si>
  <si>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</si>
  <si>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</si>
  <si>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</si>
  <si>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</si>
  <si>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</si>
  <si>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</si>
  <si>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</si>
  <si>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</si>
  <si>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</si>
  <si>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</si>
  <si>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</si>
  <si>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</si>
  <si>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</si>
  <si>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</si>
  <si>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</si>
  <si>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</si>
  <si>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</si>
  <si>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</si>
  <si>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</si>
  <si>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</si>
  <si>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</si>
  <si>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</si>
  <si>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</si>
  <si>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</si>
  <si>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</si>
  <si>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</si>
  <si>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</si>
  <si>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</si>
  <si>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</si>
  <si>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</si>
  <si>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</si>
  <si>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</si>
  <si>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</si>
  <si>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</si>
  <si>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</si>
  <si>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</si>
  <si>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</si>
  <si>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</si>
  <si>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</si>
  <si>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</si>
  <si>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</si>
  <si>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</si>
  <si>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</si>
  <si>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</si>
  <si>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</si>
  <si>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</si>
  <si>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</si>
  <si>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</si>
  <si>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</si>
  <si>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</si>
  <si>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</si>
  <si>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</si>
  <si>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</si>
  <si>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</si>
  <si>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</si>
  <si>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</si>
  <si>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</si>
  <si>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</si>
  <si>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</si>
  <si>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</si>
  <si>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</si>
  <si>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</si>
  <si>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</si>
  <si>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</si>
  <si>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</si>
  <si>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</si>
  <si>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</si>
  <si>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</si>
  <si>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</si>
  <si>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</si>
  <si>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</si>
  <si>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</si>
  <si>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</si>
  <si>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</si>
  <si>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</si>
  <si>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</si>
  <si>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</si>
  <si>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</si>
  <si>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</si>
  <si>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</si>
  <si>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</si>
  <si>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</si>
  <si>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</si>
  <si>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</si>
  <si>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</si>
  <si>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</si>
  <si>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</si>
  <si>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</si>
  <si>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</si>
  <si>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</si>
  <si>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</si>
  <si>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</si>
  <si>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</si>
  <si>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</si>
  <si>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</si>
  <si>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</si>
  <si>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</si>
  <si>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</si>
  <si>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</si>
  <si>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</si>
  <si>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</si>
  <si>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</si>
  <si>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</si>
  <si>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</si>
  <si>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</si>
  <si>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</si>
  <si>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</si>
  <si>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</si>
  <si>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</si>
  <si>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</si>
  <si>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</si>
  <si>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</si>
  <si>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</si>
  <si>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</si>
  <si>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</si>
  <si>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</si>
  <si>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</si>
  <si>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</si>
  <si>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</si>
  <si>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</si>
  <si>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</si>
  <si>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</si>
  <si>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</si>
  <si>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</si>
  <si>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</si>
  <si>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</si>
  <si>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</si>
  <si>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</si>
  <si>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</si>
  <si>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</si>
  <si>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</si>
  <si>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</si>
  <si>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</si>
  <si>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</si>
  <si>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</si>
  <si>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</si>
  <si>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</si>
  <si>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</si>
  <si>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</si>
  <si>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</si>
  <si>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</si>
  <si>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</si>
  <si>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</si>
  <si>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</si>
  <si>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</si>
  <si>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</si>
  <si>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</si>
  <si>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</si>
  <si>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</si>
  <si>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</si>
  <si>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</si>
  <si>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</si>
  <si>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</si>
  <si>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</si>
  <si>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</si>
  <si>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</si>
  <si>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</si>
  <si>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</si>
  <si>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</si>
  <si>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</si>
  <si>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</si>
  <si>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</si>
  <si>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</si>
  <si>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</si>
  <si>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</si>
  <si>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</si>
  <si>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</si>
  <si>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</si>
  <si>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</si>
  <si>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</si>
  <si>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</si>
  <si>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</si>
  <si>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</si>
  <si>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</si>
  <si>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</si>
  <si>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</si>
  <si>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</si>
  <si>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</si>
  <si>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</si>
  <si>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</si>
  <si>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</si>
  <si>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</si>
  <si>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</si>
  <si>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</si>
  <si>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</si>
  <si>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</si>
  <si>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</si>
  <si>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</si>
  <si>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</si>
  <si>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</si>
  <si>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</si>
  <si>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</si>
  <si>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</si>
  <si>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</si>
  <si>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</si>
  <si>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</si>
  <si>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</si>
  <si>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</si>
  <si>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</si>
  <si>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</si>
  <si>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</si>
  <si>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</si>
  <si>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</si>
  <si>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</si>
  <si>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</si>
  <si>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</si>
  <si>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</si>
  <si>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</si>
  <si>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</si>
  <si>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</si>
  <si>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</si>
  <si>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</si>
  <si>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</si>
  <si>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</si>
  <si>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</si>
  <si>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</si>
  <si>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</si>
  <si>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</si>
  <si>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</si>
  <si>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</si>
  <si>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</si>
  <si>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</si>
  <si>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</si>
  <si>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</si>
  <si>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</si>
  <si>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</si>
  <si>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</si>
  <si>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</si>
  <si>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</si>
  <si>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</si>
  <si>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</si>
  <si>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</si>
  <si>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</si>
  <si>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</si>
  <si>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</si>
  <si>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</si>
  <si>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</si>
  <si>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</si>
  <si>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</si>
  <si>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</si>
  <si>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</si>
  <si>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</si>
  <si>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</si>
  <si>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</si>
  <si>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</si>
  <si>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</si>
  <si>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</si>
  <si>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</si>
  <si>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</si>
  <si>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</si>
  <si>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</si>
  <si>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</si>
  <si>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</si>
  <si>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</si>
  <si>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</si>
  <si>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</si>
  <si>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</si>
  <si>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</si>
  <si>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</si>
  <si>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</si>
  <si>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</si>
  <si>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</si>
  <si>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</si>
  <si>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</si>
  <si>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</si>
  <si>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</si>
  <si>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</si>
  <si>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</si>
  <si>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</si>
  <si>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</si>
  <si>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</si>
  <si>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</si>
  <si>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</si>
  <si>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</si>
  <si>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</si>
  <si>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</si>
  <si>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</si>
  <si>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</si>
  <si>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</si>
  <si>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</si>
  <si>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</si>
  <si>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</si>
  <si>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</si>
  <si>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</si>
  <si>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</si>
  <si>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</si>
  <si>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</si>
  <si>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</si>
  <si>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</si>
  <si>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</si>
  <si>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</si>
  <si>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</si>
  <si>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</si>
  <si>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</si>
  <si>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</si>
  <si>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</si>
  <si>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</si>
  <si>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</si>
  <si>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</si>
  <si>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</si>
  <si>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</si>
  <si>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</si>
  <si>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</si>
  <si>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</si>
  <si>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</si>
  <si>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</si>
  <si>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</si>
  <si>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</si>
  <si>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</si>
  <si>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</si>
  <si>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</si>
  <si>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</si>
  <si>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</si>
  <si>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</si>
  <si>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</si>
  <si>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</si>
  <si>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</si>
  <si>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</si>
  <si>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</si>
  <si>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</si>
  <si>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</si>
  <si>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</si>
  <si>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</si>
  <si>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</si>
  <si>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</si>
  <si>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</si>
  <si>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</si>
  <si>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</si>
  <si>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</si>
  <si>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</si>
  <si>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</si>
  <si>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</si>
  <si>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</si>
  <si>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</si>
  <si>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</si>
  <si>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</si>
  <si>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</si>
  <si>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</si>
  <si>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</si>
  <si>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</si>
  <si>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</si>
  <si>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</si>
  <si>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</si>
  <si>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</si>
  <si>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</si>
  <si>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</si>
  <si>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</si>
  <si>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</si>
  <si>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</si>
  <si>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</si>
  <si>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</si>
  <si>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</si>
  <si>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</si>
  <si>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</si>
  <si>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</si>
  <si>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</si>
  <si>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</si>
  <si>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</si>
  <si>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</si>
  <si>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</si>
  <si>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</si>
  <si>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</si>
  <si>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</si>
  <si>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</si>
  <si>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</si>
  <si>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</si>
  <si>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</si>
  <si>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</si>
  <si>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</si>
  <si>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</si>
  <si>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</si>
  <si>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</si>
  <si>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</si>
  <si>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</si>
  <si>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</si>
  <si>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</si>
  <si>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</si>
  <si>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</si>
  <si>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</si>
  <si>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</si>
  <si>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</si>
  <si>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</si>
  <si>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</si>
  <si>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</si>
  <si>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</si>
  <si>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</si>
  <si>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</si>
  <si>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</si>
  <si>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</si>
  <si>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</si>
  <si>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</si>
  <si>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</si>
  <si>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</si>
  <si>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</si>
  <si>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</si>
  <si>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</si>
  <si>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</si>
  <si>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</si>
  <si>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</si>
  <si>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</si>
  <si>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</si>
  <si>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</si>
  <si>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</si>
  <si>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</si>
  <si>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</si>
  <si>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</si>
  <si>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</si>
  <si>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</si>
  <si>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</si>
  <si>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</si>
  <si>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</si>
  <si>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</si>
  <si>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</si>
  <si>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</si>
  <si>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</si>
  <si>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</si>
  <si>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</si>
  <si>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</si>
  <si>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</si>
  <si>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</si>
  <si>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</si>
  <si>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</si>
  <si>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</si>
  <si>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</si>
  <si>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</si>
  <si>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</si>
  <si>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</si>
  <si>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</si>
  <si>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</si>
  <si>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</si>
  <si>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</si>
  <si>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</si>
  <si>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</si>
  <si>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</si>
  <si>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</si>
  <si>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</si>
  <si>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</si>
  <si>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</si>
  <si>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</si>
  <si>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</si>
  <si>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</si>
  <si>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</si>
  <si>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</si>
  <si>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</si>
  <si>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</si>
  <si>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</si>
  <si>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</si>
  <si>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</si>
  <si>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</si>
  <si>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</si>
  <si>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</si>
  <si>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</si>
  <si>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</si>
  <si>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</si>
  <si>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</si>
  <si>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</si>
  <si>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</si>
  <si>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</si>
  <si>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</si>
  <si>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</si>
  <si>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</si>
  <si>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</si>
  <si>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</si>
  <si>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</si>
  <si>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</si>
  <si>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</si>
  <si>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</si>
  <si>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</si>
  <si>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</si>
  <si>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</si>
  <si>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</si>
  <si>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</si>
  <si>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</si>
  <si>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</si>
  <si>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</si>
  <si>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</si>
  <si>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</si>
  <si>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</si>
  <si>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</si>
  <si>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</si>
  <si>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</si>
  <si>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</si>
  <si>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</si>
  <si>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</si>
  <si>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</si>
  <si>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</si>
  <si>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</si>
  <si>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</si>
  <si>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</si>
  <si>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</si>
  <si>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</si>
  <si>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</si>
  <si>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</si>
  <si>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</si>
  <si>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</si>
  <si>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</si>
  <si>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</si>
  <si>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</si>
  <si>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</si>
  <si>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</si>
  <si>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</si>
  <si>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</si>
  <si>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</si>
  <si>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</si>
  <si>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</si>
  <si>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</si>
  <si>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</si>
  <si>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</si>
  <si>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</si>
  <si>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</si>
  <si>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</si>
  <si>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</si>
  <si>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</si>
  <si>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</si>
  <si>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</si>
  <si>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</si>
  <si>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</si>
  <si>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</si>
  <si>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</si>
  <si>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</si>
  <si>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</si>
  <si>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</si>
  <si>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</si>
  <si>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</si>
  <si>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</si>
  <si>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</si>
  <si>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</si>
  <si>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</si>
  <si>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</si>
  <si>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</si>
  <si>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</si>
  <si>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</si>
  <si>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</si>
  <si>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</si>
  <si>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</si>
  <si>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</si>
  <si>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</si>
  <si>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</si>
  <si>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</si>
  <si>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</si>
  <si>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</si>
  <si>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</si>
  <si>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</si>
  <si>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</si>
  <si>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</si>
  <si>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</si>
  <si>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</si>
  <si>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</si>
  <si>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</si>
  <si>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</si>
  <si>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</si>
  <si>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</si>
  <si>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</si>
  <si>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</si>
  <si>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</si>
  <si>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</si>
  <si>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</si>
  <si>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</si>
  <si>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</si>
  <si>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</si>
  <si>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</si>
  <si>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</si>
  <si>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</si>
  <si>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</si>
  <si>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</si>
  <si>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</si>
  <si>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</si>
  <si>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</si>
  <si>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</si>
  <si>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</si>
  <si>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</si>
  <si>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</si>
  <si>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</si>
  <si>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</si>
  <si>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</si>
  <si>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</si>
  <si>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</si>
  <si>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</si>
  <si>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</si>
  <si>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</si>
  <si>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</si>
  <si>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</si>
  <si>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</si>
  <si>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</si>
  <si>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</si>
  <si>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</si>
  <si>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</si>
  <si>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</si>
  <si>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</si>
  <si>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</si>
  <si>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</si>
  <si>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</si>
  <si>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</si>
  <si>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</si>
  <si>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</si>
  <si>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</si>
  <si>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</si>
  <si>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</si>
  <si>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</si>
  <si>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</si>
  <si>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</si>
  <si>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</si>
  <si>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</si>
  <si>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</si>
  <si>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</si>
  <si>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</si>
  <si>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</si>
  <si>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</si>
  <si>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</si>
  <si>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</si>
  <si>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</si>
  <si>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</si>
  <si>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</si>
  <si>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</si>
  <si>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</si>
  <si>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</si>
  <si>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</si>
  <si>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</si>
  <si>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</si>
  <si>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</si>
  <si>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</si>
  <si>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</si>
  <si>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</si>
  <si>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</si>
  <si>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</si>
  <si>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</si>
  <si>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</si>
  <si>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</si>
  <si>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</si>
  <si>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</si>
  <si>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</si>
  <si>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</si>
  <si>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</si>
  <si>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</si>
  <si>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</si>
  <si>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</si>
  <si>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</si>
  <si>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</si>
  <si>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</si>
  <si>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</si>
  <si>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</si>
  <si>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</si>
  <si>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</si>
  <si>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</si>
  <si>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</si>
  <si>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</si>
  <si>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</si>
  <si>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</si>
  <si>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</si>
  <si>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</si>
  <si>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</si>
  <si>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</si>
  <si>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</si>
  <si>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</si>
  <si>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</si>
  <si>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</si>
  <si>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</si>
  <si>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</si>
  <si>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</si>
  <si>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</si>
  <si>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</si>
  <si>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</si>
  <si>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</si>
  <si>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</si>
  <si>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</si>
  <si>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</si>
  <si>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</si>
  <si>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</si>
  <si>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</si>
  <si>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</si>
  <si>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</si>
  <si>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</si>
  <si>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</si>
  <si>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</si>
  <si>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</si>
  <si>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</si>
  <si>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</si>
  <si>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</si>
  <si>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</si>
  <si>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</si>
  <si>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</si>
  <si>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</si>
  <si>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</si>
  <si>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</si>
  <si>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</si>
  <si>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</si>
  <si>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</si>
  <si>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</si>
  <si>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</si>
  <si>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</si>
  <si>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</si>
  <si>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</si>
  <si>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</si>
  <si>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</si>
  <si>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</si>
  <si>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</si>
  <si>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</si>
  <si>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</si>
  <si>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</si>
  <si>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</si>
  <si>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</si>
  <si>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</si>
  <si>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</si>
  <si>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</si>
  <si>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</si>
  <si>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</si>
  <si>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</si>
  <si>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</si>
  <si>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</si>
  <si>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</si>
  <si>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</si>
  <si>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</si>
  <si>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</si>
  <si>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</si>
  <si>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</si>
  <si>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</si>
  <si>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</si>
  <si>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</si>
  <si>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</si>
  <si>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</si>
  <si>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</si>
  <si>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</si>
  <si>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</si>
  <si>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</si>
  <si>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</si>
  <si>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</si>
  <si>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</si>
  <si>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</si>
  <si>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</si>
  <si>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</si>
  <si>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</si>
  <si>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</si>
  <si>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</si>
  <si>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</si>
  <si>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</si>
  <si>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</si>
  <si>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</si>
  <si>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</si>
  <si>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</si>
  <si>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</si>
  <si>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</si>
  <si>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</si>
  <si>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</si>
  <si>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</si>
  <si>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</si>
  <si>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</si>
  <si>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</si>
  <si>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</si>
  <si>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</si>
  <si>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</si>
  <si>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</si>
  <si>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</si>
  <si>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</si>
  <si>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</si>
  <si>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</si>
  <si>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</si>
  <si>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</si>
  <si>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</si>
  <si>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</si>
  <si>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</si>
  <si>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</si>
  <si>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</si>
  <si>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</si>
  <si>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</si>
  <si>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</si>
  <si>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</si>
  <si>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</si>
  <si>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</si>
  <si>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</si>
  <si>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</si>
  <si>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</si>
  <si>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</si>
  <si>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</si>
  <si>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</si>
  <si>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</si>
  <si>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</si>
  <si>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</si>
  <si>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</si>
  <si>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</si>
  <si>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</si>
  <si>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</si>
  <si>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</si>
  <si>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</si>
  <si>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</si>
  <si>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</si>
  <si>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</si>
  <si>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</si>
  <si>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</si>
  <si>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</si>
  <si>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</si>
  <si>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</si>
  <si>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</si>
  <si>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</si>
  <si>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</si>
  <si>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</si>
  <si>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</si>
  <si>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</si>
  <si>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</si>
  <si>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</si>
  <si>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</si>
  <si>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</si>
  <si>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</si>
  <si>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</si>
  <si>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</si>
  <si>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</si>
  <si>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</si>
  <si>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</si>
  <si>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</si>
  <si>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</si>
  <si>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</si>
  <si>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</si>
  <si>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</si>
  <si>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</si>
  <si>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</si>
  <si>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</si>
  <si>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</si>
  <si>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</si>
  <si>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</si>
  <si>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</si>
  <si>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</si>
  <si>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</si>
  <si>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</si>
  <si>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</si>
  <si>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</si>
  <si>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</si>
  <si>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</si>
  <si>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</si>
  <si>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</si>
  <si>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</si>
  <si>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</si>
  <si>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</si>
  <si>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</si>
  <si>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</si>
  <si>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</si>
  <si>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</si>
  <si>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</si>
  <si>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</si>
  <si>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</si>
  <si>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</si>
  <si>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</si>
  <si>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</si>
  <si>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</si>
  <si>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</si>
  <si>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</si>
  <si>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</si>
  <si>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</si>
  <si>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</si>
  <si>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</si>
  <si>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</si>
  <si>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</si>
  <si>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</si>
  <si>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</si>
  <si>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</si>
  <si>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</si>
  <si>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</si>
  <si>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</si>
  <si>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</si>
  <si>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</si>
  <si>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</si>
  <si>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</si>
  <si>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</si>
  <si>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</si>
  <si>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</si>
  <si>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</si>
  <si>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</si>
  <si>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</si>
  <si>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</si>
  <si>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</si>
  <si>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</si>
  <si>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</si>
  <si>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</si>
  <si>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</si>
  <si>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</si>
  <si>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</si>
  <si>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</si>
  <si>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</si>
  <si>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</si>
  <si>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</si>
  <si>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</si>
  <si>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</si>
  <si>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</si>
  <si>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</si>
  <si>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</si>
  <si>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</si>
  <si>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</si>
  <si>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</si>
  <si>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</si>
  <si>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</si>
  <si>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</si>
  <si>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</si>
  <si>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</si>
  <si>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</si>
  <si>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</si>
  <si>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</si>
  <si>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</si>
  <si>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</si>
  <si>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</si>
  <si>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</si>
  <si>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</si>
  <si>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</si>
  <si>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</si>
  <si>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</si>
  <si>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</si>
  <si>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</si>
  <si>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</si>
  <si>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</si>
  <si>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</si>
  <si>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</si>
  <si>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</si>
  <si>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</si>
  <si>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</si>
  <si>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</si>
  <si>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</si>
  <si>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</si>
  <si>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</si>
  <si>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</si>
  <si>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</si>
  <si>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</si>
  <si>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</si>
  <si>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</si>
  <si>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</si>
  <si>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</si>
  <si>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</si>
  <si>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</si>
  <si>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</si>
  <si>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</si>
  <si>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</si>
  <si>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</si>
  <si>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</si>
  <si>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</si>
  <si>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</si>
  <si>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</si>
  <si>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</si>
  <si>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</si>
  <si>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</si>
  <si>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</si>
  <si>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</si>
  <si>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</si>
  <si>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</si>
  <si>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</si>
  <si>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</si>
  <si>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</si>
  <si>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</si>
  <si>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</si>
  <si>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</si>
  <si>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</si>
  <si>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</si>
  <si>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</si>
  <si>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</si>
  <si>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</si>
  <si>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</si>
  <si>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</si>
  <si>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</si>
  <si>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</si>
  <si>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</si>
  <si>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</si>
  <si>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</si>
  <si>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</si>
  <si>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</si>
  <si>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</si>
  <si>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</si>
  <si>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</si>
  <si>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</si>
  <si>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</si>
  <si>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</si>
  <si>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</si>
  <si>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</si>
  <si>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</si>
  <si>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</si>
  <si>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</si>
  <si>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</si>
  <si>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</si>
  <si>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</si>
  <si>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</si>
  <si>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</si>
  <si>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</si>
  <si>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</si>
  <si>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</si>
  <si>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</si>
  <si>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</si>
  <si>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</si>
  <si>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</si>
  <si>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</si>
  <si>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</si>
  <si>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</si>
  <si>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</si>
  <si>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</si>
  <si>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</si>
  <si>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</si>
  <si>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</si>
  <si>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</si>
  <si>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</si>
  <si>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</si>
  <si>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</si>
  <si>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</si>
  <si>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</si>
  <si>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</si>
  <si>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</si>
  <si>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</si>
  <si>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</si>
  <si>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</si>
  <si>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</si>
  <si>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</si>
  <si>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</si>
  <si>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</si>
  <si>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</si>
  <si>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</si>
  <si>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</si>
  <si>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</si>
  <si>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</si>
  <si>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</si>
  <si>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</si>
  <si>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</si>
  <si>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</si>
  <si>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</si>
  <si>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</si>
  <si>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</si>
  <si>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</si>
  <si>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</si>
  <si>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</si>
  <si>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</si>
  <si>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</si>
  <si>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</si>
  <si>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</si>
  <si>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</si>
  <si>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</si>
  <si>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</si>
  <si>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</si>
  <si>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</si>
  <si>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</si>
  <si>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</si>
  <si>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</si>
  <si>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</si>
  <si>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</si>
  <si>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</si>
  <si>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</si>
  <si>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</si>
  <si>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</si>
  <si>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</si>
  <si>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</si>
  <si>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</si>
  <si>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</si>
  <si>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</si>
  <si>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</si>
  <si>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</si>
  <si>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</si>
  <si>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</si>
  <si>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</si>
  <si>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</si>
  <si>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</si>
  <si>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</si>
  <si>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</si>
  <si>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</si>
  <si>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</si>
  <si>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</si>
  <si>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</si>
  <si>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</si>
  <si>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</si>
  <si>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</si>
  <si>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</si>
  <si>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</si>
  <si>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</si>
  <si>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</si>
  <si>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</si>
  <si>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</si>
  <si>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</si>
  <si>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</si>
  <si>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</si>
  <si>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</si>
  <si>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</si>
  <si>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</si>
  <si>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</si>
  <si>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</si>
  <si>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</si>
  <si>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</si>
  <si>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</si>
  <si>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</si>
  <si>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</si>
  <si>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</si>
  <si>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</si>
  <si>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</si>
  <si>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</si>
  <si>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</si>
  <si>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</si>
  <si>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</si>
  <si>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</si>
  <si>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</si>
  <si>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</si>
  <si>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</si>
  <si>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</si>
  <si>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</si>
  <si>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</si>
  <si>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</si>
  <si>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</si>
  <si>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</si>
  <si>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</si>
  <si>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</si>
  <si>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</si>
  <si>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</si>
  <si>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</si>
  <si>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</si>
  <si>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</si>
  <si>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</si>
  <si>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</si>
  <si>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</si>
  <si>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</si>
  <si>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</si>
  <si>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</si>
  <si>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</si>
  <si>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</si>
  <si>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</si>
  <si>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</si>
  <si>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</si>
  <si>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</si>
  <si>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</si>
  <si>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</si>
  <si>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</si>
  <si>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</si>
  <si>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</si>
  <si>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</si>
  <si>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</si>
  <si>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</si>
  <si>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</si>
  <si>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</si>
  <si>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</si>
  <si>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</si>
  <si>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</si>
  <si>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</si>
  <si>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</si>
  <si>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</si>
  <si>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</si>
  <si>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</si>
  <si>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</si>
  <si>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</si>
  <si>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</si>
  <si>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</si>
  <si>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</si>
  <si>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</si>
  <si>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</si>
  <si>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</si>
  <si>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</si>
  <si>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</si>
  <si>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</si>
  <si>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</si>
  <si>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</si>
  <si>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</si>
  <si>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</si>
  <si>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</si>
  <si>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</si>
  <si>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</si>
  <si>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</si>
  <si>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</si>
  <si>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</si>
  <si>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</si>
  <si>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</si>
  <si>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</si>
  <si>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</si>
  <si>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</si>
  <si>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</si>
  <si>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</si>
  <si>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TGRTSF</t>
  </si>
  <si>
    <t>Deslocamento TGR-TSF</t>
  </si>
  <si>
    <t>Execução de solda</t>
  </si>
  <si>
    <t>TVITJA</t>
  </si>
  <si>
    <t>Descarga de trilho 68
12 barras - 74/246007-248007tg
8 barras - 74/248007-249266tg</t>
  </si>
  <si>
    <t>TP-492</t>
  </si>
  <si>
    <t>Troca de dormente em ponte</t>
  </si>
  <si>
    <t>Hebert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</si>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</sst>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Q67" activePane="bottomRight" state="frozen"/>
      <selection pane="bottomRight" activeCell="S72" sqref="S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5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1275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>W7046028</v>
      </c>
      <c r="B67" s="171">
        <v>46028</v>
      </c>
      <c r="C67" s="8">
        <f>IF(BS_CONTROLE[[#This Row],[DATA]]="","",WEEKNUM(BS_CONTROLE[[#This Row],[DATA]]))</f>
        <v>2</v>
      </c>
      <c r="D67" s="51" t="s">
        <v>239</v>
      </c>
      <c r="E67" s="320">
        <v>64</v>
      </c>
      <c r="F67" s="172" t="s">
        <v>187</v>
      </c>
      <c r="G67" s="9" t="str">
        <f>IF(D67="","*",VLOOKUP(F67,BS_ATIVIDADE[#All],3,FALSE))</f>
        <v>PEDRA</v>
      </c>
      <c r="H67" s="173" t="s">
        <v>424</v>
      </c>
      <c r="I67" s="173" t="s">
        <v>941</v>
      </c>
      <c r="J67" s="217">
        <v>98</v>
      </c>
      <c r="K67" s="217">
        <v>735</v>
      </c>
      <c r="L67" s="83">
        <v>732</v>
      </c>
      <c r="M67" s="204" t="s">
        <v>1278</v>
      </c>
      <c r="N67" s="204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3">
        <v>0.375</v>
      </c>
      <c r="P67" s="173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8" t="s">
        <v>1220</v>
      </c>
      <c r="W67" s="173" t="s">
        <v>1279</v>
      </c>
      <c r="X67" s="218" t="s">
        <v>952</v>
      </c>
      <c r="Y67" s="158"/>
      <c r="Z67" s="158"/>
      <c r="AA67" s="83" t="s">
        <v>1280</v>
      </c>
      <c r="AB67" s="70" t="s">
        <v>959</v>
      </c>
      <c r="AC67" s="70"/>
      <c r="AD67" s="173">
        <v>0.29166666666666669</v>
      </c>
      <c r="AE67" s="83"/>
      <c r="AF67" s="83"/>
      <c r="AG67" s="83"/>
      <c r="AH67" s="48"/>
      <c r="AI67" s="142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4" t="str">
        <f>IF(BS_CONTROLE[[#This Row],[Local - Partida]]=0, "-", BS_CONTROLE[[#This Row],[Local - Partida]])</f>
        <v>TRO</v>
      </c>
      <c r="AL67" s="284" t="str">
        <f>IF(BS_CONTROLE[[#This Row],[Local - Encerramento]]=0, "-", BS_CONTROLE[[#This Row],[Local - Encerramento]])</f>
        <v>TGR2</v>
      </c>
      <c r="AM67" s="284" t="str">
        <f>IF(BS_CONTROLE[[#This Row],[Entre - Estações]]=0, "-", BS_CONTROLE[[#This Row],[Entre - Estações]])</f>
        <v>TSF-TEX</v>
      </c>
      <c r="AN67" s="284">
        <f>IF(BS_CONTROLE[[#This Row],[SB]]=0, "-", BS_CONTROLE[[#This Row],[SB]])</f>
        <v>732744</v>
      </c>
      <c r="AO67" s="285">
        <f>IF(BS_CONTROLE[[#This Row],[SUB]]=0, "-", BS_CONTROLE[[#This Row],[SUB]])</f>
        <v>98</v>
      </c>
      <c r="AP67" s="286">
        <f>IF(BS_CONTROLE[[#This Row],[KM - Inicio]]=0, "-", BS_CONTROLE[[#This Row],[KM - Inicio]])</f>
        <v>735</v>
      </c>
      <c r="AQ67" s="286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7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V8646028</v>
      </c>
      <c r="B69" s="171">
        <v>46028</v>
      </c>
      <c r="C69" s="8">
        <f>IF(BS_CONTROLE[[#This Row],[DATA]]="","",WEEKNUM(BS_CONTROLE[[#This Row],[DATA]]))</f>
        <v>2</v>
      </c>
      <c r="D69" s="51" t="s">
        <v>213</v>
      </c>
      <c r="E69" s="320">
        <v>64</v>
      </c>
      <c r="F69" s="172" t="s">
        <v>25</v>
      </c>
      <c r="G69" s="9" t="str">
        <f>IF(D69="","*",VLOOKUP(F69,BS_ATIVIDADE[#All],3,FALSE))</f>
        <v>OUTROS</v>
      </c>
      <c r="H69" s="173" t="s">
        <v>941</v>
      </c>
      <c r="I69" s="173" t="s">
        <v>416</v>
      </c>
      <c r="J69" s="217">
        <v>98</v>
      </c>
      <c r="K69" s="217">
        <v>502</v>
      </c>
      <c r="L69" s="83">
        <v>720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9" s="83" t="s">
        <v>1281</v>
      </c>
      <c r="O69" s="173">
        <v>0.39583333333333331</v>
      </c>
      <c r="P69" s="173">
        <v>4.1666666666666664E-2</v>
      </c>
      <c r="Q69" s="83">
        <v>1</v>
      </c>
      <c r="R69" s="10" t="str">
        <f>IFERROR(_xlfn.XLOOKUP(F69, BS_ATIVIDADE[ATIVIDADE],BS_ATIVIDADE[UNIDADE] ), "*")</f>
        <v>BINÁRIO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 t="s">
        <v>1248</v>
      </c>
      <c r="W69" s="173" t="s">
        <v>1282</v>
      </c>
      <c r="X69" s="218" t="s">
        <v>957</v>
      </c>
      <c r="Y69" s="158"/>
      <c r="Z69" s="158"/>
      <c r="AA69" s="83">
        <v>1</v>
      </c>
      <c r="AB69" s="70" t="s">
        <v>948</v>
      </c>
      <c r="AC69" s="70"/>
      <c r="AD69" s="173">
        <v>0.29166666666666669</v>
      </c>
      <c r="AE69" s="83">
        <v>6636</v>
      </c>
      <c r="AF69" s="83"/>
      <c r="AG69" s="83"/>
      <c r="AH69" s="48"/>
      <c r="AI69" s="142" t="str">
        <f>IF(BS_CONTROLE[[#This Row],[Atividade]]=0, "-", BS_CONTROLE[[#This Row],[Atividade]])</f>
        <v>DESLOCAMENTO</v>
      </c>
      <c r="AJ69" s="9" t="str">
        <f>IF(D69="","*",VLOOKUP(AI69,BS_ATIVIDADE[#Data],3,FALSE))</f>
        <v>OUTROS</v>
      </c>
      <c r="AK69" s="284" t="str">
        <f>IF(BS_CONTROLE[[#This Row],[Local - Partida]]=0, "-", BS_CONTROLE[[#This Row],[Local - Partida]])</f>
        <v>TGR2</v>
      </c>
      <c r="AL69" s="284" t="str">
        <f>IF(BS_CONTROLE[[#This Row],[Local - Encerramento]]=0, "-", BS_CONTROLE[[#This Row],[Local - Encerramento]])</f>
        <v>TSF</v>
      </c>
      <c r="AM69" s="284" t="str">
        <f>IF(BS_CONTROLE[[#This Row],[Entre - Estações]]=0, "-", BS_CONTROLE[[#This Row],[Entre - Estações]])</f>
        <v>TGR-TBE</v>
      </c>
      <c r="AN69" s="284" t="str">
        <f>IF(BS_CONTROLE[[#This Row],[SB]]=0, "-", BS_CONTROLE[[#This Row],[SB]])</f>
        <v>TGRTSF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502</v>
      </c>
      <c r="AQ69" s="286">
        <f>IF(BS_CONTROLE[[#This Row],[KM - Fim]]=0, "-", BS_CONTROLE[[#This Row],[KM - Fim]])</f>
        <v>720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BINÁRIO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Saulo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 t="s">
        <v>1231</v>
      </c>
      <c r="W70" s="173" t="s">
        <v>1275</v>
      </c>
      <c r="X70" s="218" t="s">
        <v>957</v>
      </c>
      <c r="Y70" s="158"/>
      <c r="Z70" s="158"/>
      <c r="AA70" s="83">
        <v>1</v>
      </c>
      <c r="AB70" s="70" t="s">
        <v>948</v>
      </c>
      <c r="AC70" s="70"/>
      <c r="AD70" s="173">
        <v>0.29166666666666669</v>
      </c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Silmara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1" s="80" t="str">
        <f>IFERROR(_xlfn.XLOOKUP(J71, BASE_MAPA!$E$2:$E$359, BASE_MAPA!$J$2:$J$359), "ERRO")</f>
        <v>MARCO INICIAL - ALTO ARAGUAIA</v>
      </c>
      <c r="V71" s="198" t="s">
        <v>1231</v>
      </c>
      <c r="W71" s="173" t="s">
        <v>1283</v>
      </c>
      <c r="X71" s="218" t="s">
        <v>957</v>
      </c>
      <c r="Y71" s="158"/>
      <c r="Z71" s="158"/>
      <c r="AA71" s="83" t="s">
        <v>11</v>
      </c>
      <c r="AB71" s="70" t="s">
        <v>11</v>
      </c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Silmara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1284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 t="s">
        <v>1240</v>
      </c>
      <c r="W72" s="374" t="s">
        <v>1285</v>
      </c>
      <c r="X72" s="218" t="s">
        <v>952</v>
      </c>
      <c r="Y72" s="158"/>
      <c r="Z72" s="158"/>
      <c r="AA72" s="83" t="s">
        <v>1253</v>
      </c>
      <c r="AB72" s="70" t="s">
        <v>948</v>
      </c>
      <c r="AC72" s="70"/>
      <c r="AD72" s="173">
        <v>0.29166666666666669</v>
      </c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PCM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1286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 t="s">
        <v>1287</v>
      </c>
      <c r="X74" s="218" t="s">
        <v>957</v>
      </c>
      <c r="Y74" s="158"/>
      <c r="Z74" s="158"/>
      <c r="AA74" s="83" t="s">
        <v>11</v>
      </c>
      <c r="AB74" s="70" t="s">
        <v>11</v>
      </c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 t="s">
        <v>1288</v>
      </c>
      <c r="W75" s="173" t="s">
        <v>1275</v>
      </c>
      <c r="X75" s="218" t="s">
        <v>957</v>
      </c>
      <c r="Y75" s="158"/>
      <c r="Z75" s="158"/>
      <c r="AA75" s="83">
        <v>1</v>
      </c>
      <c r="AB75" s="70" t="s">
        <v>948</v>
      </c>
      <c r="AC75" s="70"/>
      <c r="AD75" s="173">
        <v>0.29166666666666669</v>
      </c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Hebert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e">
        <f t="shared" si="8"/>
        <v>#DIV/0!</v>
      </c>
      <c r="BR75" s="18" t="e">
        <f t="shared" si="9"/>
        <v>#DIV/0!</v>
      </c>
      <c r="BS75" s="18" t="e">
        <f t="shared" si="10"/>
        <v>#DIV/0!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0.375</v>
      </c>
      <c r="P77" s="173">
        <v>0.16666666666666666</v>
      </c>
      <c r="Q77" s="83">
        <v>500</v>
      </c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1289</v>
      </c>
      <c r="W77" s="173" t="s">
        <v>1290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>
        <v>0.29166666666666669</v>
      </c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 t="s">
        <v>1236</v>
      </c>
      <c r="W79" s="173" t="s">
        <v>1215</v>
      </c>
      <c r="X79" s="218" t="s">
        <v>957</v>
      </c>
      <c r="Y79" s="158"/>
      <c r="Z79" s="158"/>
      <c r="AA79" s="83">
        <v>1</v>
      </c>
      <c r="AB79" s="70" t="s">
        <v>948</v>
      </c>
      <c r="AC79" s="70"/>
      <c r="AD79" s="173">
        <v>0.25</v>
      </c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Ana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 t="s">
        <v>864</v>
      </c>
      <c r="I81" s="173" t="s">
        <v>1291</v>
      </c>
      <c r="J81" s="217">
        <v>78</v>
      </c>
      <c r="K81" s="217">
        <v>334</v>
      </c>
      <c r="L81" s="83">
        <v>7.5</v>
      </c>
      <c r="M81" s="204" t="s">
        <v>1292</v>
      </c>
      <c r="N81" s="204" t="s">
        <v>1293</v>
      </c>
      <c r="O81" s="173">
        <v>0.41666666666666669</v>
      </c>
      <c r="P81" s="173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ITIRAPINA - BAURU</v>
      </c>
      <c r="V81" s="198" t="s">
        <v>1240</v>
      </c>
      <c r="W81" s="173" t="s">
        <v>1294</v>
      </c>
      <c r="X81" s="218" t="s">
        <v>957</v>
      </c>
      <c r="Y81" s="158"/>
      <c r="Z81" s="158"/>
      <c r="AA81" s="83" t="s">
        <v>1295</v>
      </c>
      <c r="AB81" s="70" t="s">
        <v>959</v>
      </c>
      <c r="AC81" s="70"/>
      <c r="AD81" s="173">
        <v>0.83333333333333337</v>
      </c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ZTP</v>
      </c>
      <c r="AL81" s="284" t="str">
        <f>IF(BS_CONTROLE[[#This Row],[Local - Encerramento]]=0, "-", BS_CONTROLE[[#This Row],[Local - Encerramento]])</f>
        <v>ZTO</v>
      </c>
      <c r="AM81" s="284" t="str">
        <f>IF(BS_CONTROLE[[#This Row],[Entre - Estações]]=0, "-", BS_CONTROLE[[#This Row],[Entre - Estações]])</f>
        <v>ZTP-ZTO</v>
      </c>
      <c r="AN81" s="284" t="str">
        <f>IF(BS_CONTROLE[[#This Row],[SB]]=0, "-", BS_CONTROLE[[#This Row],[SB]])</f>
        <v>ZTPZTO</v>
      </c>
      <c r="AO81" s="285">
        <f>IF(BS_CONTROLE[[#This Row],[SUB]]=0, "-", BS_CONTROLE[[#This Row],[SUB]])</f>
        <v>78</v>
      </c>
      <c r="AP81" s="286">
        <f>IF(BS_CONTROLE[[#This Row],[KM - Inicio]]=0, "-", BS_CONTROLE[[#This Row],[KM - Inicio]])</f>
        <v>334</v>
      </c>
      <c r="AQ81" s="286">
        <f>IF(BS_CONTROLE[[#This Row],[KM - Fim]]=0, "-", BS_CONTROLE[[#This Row],[KM - Fim]])</f>
        <v>7.5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ITIRAPINA - BAURU</v>
      </c>
      <c r="BF81" s="287" t="str">
        <f>IF(BS_CONTROLE[[#This Row],[Responsavel pelo boletim]]=0, "-", BS_CONTROLE[[#This Row],[Responsavel pelo boletim]])</f>
        <v>PCM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Produção e Intervalo</v>
      </c>
      <c r="BR81" s="18">
        <f t="shared" si="9"/>
        <v>0</v>
      </c>
      <c r="BS81" s="18">
        <f t="shared" si="10"/>
        <v>0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9 AY553:AY599 U6:U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1296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1297</v>
      </c>
      <c r="E3" s="322" t="s">
        <v>1298</v>
      </c>
      <c r="F3" s="322" t="s">
        <v>1299</v>
      </c>
      <c r="G3" s="322" t="s">
        <v>1300</v>
      </c>
      <c r="H3" s="322" t="s">
        <v>1301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1302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1303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1304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1305</v>
      </c>
      <c r="C4" s="327" t="s">
        <v>1306</v>
      </c>
      <c r="D4" s="327" t="s">
        <v>1307</v>
      </c>
      <c r="E4" s="327" t="s">
        <v>1308</v>
      </c>
      <c r="F4" s="327" t="s">
        <v>351</v>
      </c>
      <c r="G4" s="327" t="s">
        <v>1309</v>
      </c>
      <c r="H4" s="192"/>
    </row>
    <row r="5" spans="1:8" ht="43.5">
      <c r="A5" s="192"/>
      <c r="B5" s="328" t="s">
        <v>1310</v>
      </c>
      <c r="C5" s="328">
        <v>309525</v>
      </c>
      <c r="D5" s="328" t="s">
        <v>1311</v>
      </c>
      <c r="E5" s="328" t="s">
        <v>239</v>
      </c>
      <c r="F5" s="328" t="s">
        <v>1312</v>
      </c>
      <c r="G5" s="329">
        <v>46296</v>
      </c>
      <c r="H5" s="192"/>
    </row>
    <row r="6" spans="1:8" ht="43.5">
      <c r="A6" s="192"/>
      <c r="B6" s="328" t="s">
        <v>1313</v>
      </c>
      <c r="C6" s="328">
        <v>256875</v>
      </c>
      <c r="D6" s="328" t="s">
        <v>1314</v>
      </c>
      <c r="E6" s="328" t="s">
        <v>239</v>
      </c>
      <c r="F6" s="328" t="s">
        <v>1312</v>
      </c>
      <c r="G6" s="329">
        <v>46296</v>
      </c>
      <c r="H6" s="192"/>
    </row>
    <row r="7" spans="1:8" ht="43.5">
      <c r="A7" s="192"/>
      <c r="B7" s="328" t="s">
        <v>1315</v>
      </c>
      <c r="C7" s="328">
        <v>257278</v>
      </c>
      <c r="D7" s="328" t="s">
        <v>1316</v>
      </c>
      <c r="E7" s="328" t="s">
        <v>230</v>
      </c>
      <c r="F7" s="328" t="s">
        <v>1317</v>
      </c>
      <c r="G7" s="329">
        <v>46235</v>
      </c>
      <c r="H7" s="192"/>
    </row>
    <row r="8" spans="1:8" ht="43.5">
      <c r="A8" s="192"/>
      <c r="B8" s="328" t="s">
        <v>1318</v>
      </c>
      <c r="C8" s="328">
        <v>261794</v>
      </c>
      <c r="D8" s="328" t="s">
        <v>1319</v>
      </c>
      <c r="E8" s="328" t="s">
        <v>230</v>
      </c>
      <c r="F8" s="328" t="s">
        <v>1317</v>
      </c>
      <c r="G8" s="329">
        <v>46082</v>
      </c>
      <c r="H8" s="192"/>
    </row>
    <row r="9" spans="1:8" ht="43.5">
      <c r="A9" s="192"/>
      <c r="B9" s="328" t="s">
        <v>1320</v>
      </c>
      <c r="C9" s="328">
        <v>257033</v>
      </c>
      <c r="D9" s="328" t="s">
        <v>1321</v>
      </c>
      <c r="E9" s="328" t="s">
        <v>230</v>
      </c>
      <c r="F9" s="328" t="s">
        <v>538</v>
      </c>
      <c r="G9" s="328" t="s">
        <v>1322</v>
      </c>
      <c r="H9" s="192"/>
    </row>
    <row r="10" spans="1:8" ht="43.5">
      <c r="A10" s="192"/>
      <c r="B10" s="328" t="s">
        <v>1323</v>
      </c>
      <c r="C10" s="328">
        <v>396578</v>
      </c>
      <c r="D10" s="328" t="s">
        <v>1324</v>
      </c>
      <c r="E10" s="328" t="s">
        <v>230</v>
      </c>
      <c r="F10" s="328" t="s">
        <v>538</v>
      </c>
      <c r="G10" s="328" t="s">
        <v>1322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1325</v>
      </c>
      <c r="D5" s="361"/>
      <c r="E5" s="361"/>
      <c r="F5" s="361"/>
      <c r="G5" s="361"/>
      <c r="H5" s="361"/>
      <c r="I5" s="361"/>
      <c r="J5" s="362"/>
      <c r="K5" s="363" t="s">
        <v>1326</v>
      </c>
      <c r="L5" s="364"/>
      <c r="M5" s="364"/>
      <c r="N5" s="364"/>
      <c r="O5" s="365" t="s">
        <v>1327</v>
      </c>
      <c r="P5" s="366"/>
      <c r="Q5" s="367"/>
    </row>
    <row r="6" spans="1:17" s="93" customFormat="1" ht="15.75" customHeight="1">
      <c r="A6" s="87" t="s">
        <v>1328</v>
      </c>
      <c r="B6" s="94" t="s">
        <v>1329</v>
      </c>
      <c r="C6" s="95" t="s">
        <v>1163</v>
      </c>
      <c r="D6" s="96" t="s">
        <v>1164</v>
      </c>
      <c r="E6" s="95" t="s">
        <v>1330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1331</v>
      </c>
      <c r="M6" s="139" t="s">
        <v>30</v>
      </c>
      <c r="N6" s="140" t="s">
        <v>1158</v>
      </c>
      <c r="O6" s="246" t="s">
        <v>1201</v>
      </c>
      <c r="P6" s="157"/>
      <c r="Q6" s="193" t="s">
        <v>1332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4">
        <f>IF(FN_MC!K67="","*",FN_MC!K67)</f>
        <v>735</v>
      </c>
      <c r="I69" s="132">
        <f>IF(FN_MC!O67="","*",FN_MC!O67)</f>
        <v>0.375</v>
      </c>
      <c r="J69" s="132">
        <f>IF(FN_MC!P67="","*",FN_MC!P67)</f>
        <v>0.16666666666666666</v>
      </c>
      <c r="K69" s="141" t="str">
        <f>IF(FN_MC!AK67="","*",FN_MC!AK67)</f>
        <v>TRO</v>
      </c>
      <c r="L69" s="141" t="str">
        <f>IF(FN_MC!AM67="","*",FN_MC!AM67)</f>
        <v>TSF-TEX</v>
      </c>
      <c r="M69" s="141">
        <f>IF(FN_MC!AP67="","*",FN_MC!AP67)</f>
        <v>735</v>
      </c>
      <c r="N69" s="141" t="str">
        <f>IF(FN_MC!AM67="","*",FN_MC!AM67)</f>
        <v>TSF-TEX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V86</v>
      </c>
      <c r="F71" s="99" t="str">
        <f>IF(FN_MC!H69="","*",FN_MC!H69)</f>
        <v>TGR2</v>
      </c>
      <c r="G71" s="99" t="str">
        <f>IF(FN_MC!M69="","*",FN_MC!M69)</f>
        <v>TGR-TBE</v>
      </c>
      <c r="H71" s="154">
        <f>IF(FN_MC!K69="","*",FN_MC!K69)</f>
        <v>502</v>
      </c>
      <c r="I71" s="132">
        <f>IF(FN_MC!O69="","*",FN_MC!O69)</f>
        <v>0.39583333333333331</v>
      </c>
      <c r="J71" s="132">
        <f>IF(FN_MC!P69="","*",FN_MC!P69)</f>
        <v>4.1666666666666664E-2</v>
      </c>
      <c r="K71" s="141" t="str">
        <f>IF(FN_MC!AK69="","*",FN_MC!AK69)</f>
        <v>TGR2</v>
      </c>
      <c r="L71" s="141" t="str">
        <f>IF(FN_MC!AM69="","*",FN_MC!AM69)</f>
        <v>TGR-TBE</v>
      </c>
      <c r="M71" s="141">
        <f>IF(FN_MC!AP69="","*",FN_MC!AP69)</f>
        <v>502</v>
      </c>
      <c r="N71" s="141" t="str">
        <f>IF(FN_MC!AM69="","*",FN_MC!AM69)</f>
        <v>TGR-TBE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Oportunidade</v>
      </c>
      <c r="C73" s="99" t="str">
        <f>IF(FN_MC!S71="","*",FN_MC!S71)</f>
        <v>FERRONORTE</v>
      </c>
      <c r="D73" s="99" t="str">
        <f>IF(FN_MC!T71="","*",FN_MC!T71)</f>
        <v>FERRONORTE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Contrato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Oportunidade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Oportunidade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0.375</v>
      </c>
      <c r="J79" s="132">
        <f>IF(FN_MC!P77="","*",FN_MC!P77)</f>
        <v>0.16666666666666666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Oportunidade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Oportunidade</v>
      </c>
      <c r="C83" s="99" t="str">
        <f>IF(FN_MC!S81="","*",FN_MC!S81)</f>
        <v>MALHA CENTRAL</v>
      </c>
      <c r="D83" s="99" t="str">
        <f>IF(FN_MC!T81="","*",FN_MC!T81)</f>
        <v>RAMAL</v>
      </c>
      <c r="E83" s="99" t="str">
        <f>IF(FN_MC!D81="","*",FN_MC!D81)</f>
        <v>E40</v>
      </c>
      <c r="F83" s="99" t="str">
        <f>IF(FN_MC!H81="","*",FN_MC!H81)</f>
        <v>ZTP</v>
      </c>
      <c r="G83" s="99" t="str">
        <f>IF(FN_MC!M81="","*",FN_MC!M81)</f>
        <v>ZTP-ZTO</v>
      </c>
      <c r="H83" s="154">
        <f>IF(FN_MC!K81="","*",FN_MC!K81)</f>
        <v>334</v>
      </c>
      <c r="I83" s="132">
        <f>IF(FN_MC!O81="","*",FN_MC!O81)</f>
        <v>0.41666666666666669</v>
      </c>
      <c r="J83" s="132">
        <f>IF(FN_MC!P81="","*",FN_MC!P81)</f>
        <v>4.1666666666666664E-2</v>
      </c>
      <c r="K83" s="141" t="str">
        <f>IF(FN_MC!AK81="","*",FN_MC!AK81)</f>
        <v>ZTP</v>
      </c>
      <c r="L83" s="141" t="str">
        <f>IF(FN_MC!AM81="","*",FN_MC!AM81)</f>
        <v>ZTP-ZTO</v>
      </c>
      <c r="M83" s="141">
        <f>IF(FN_MC!AP81="","*",FN_MC!AP81)</f>
        <v>334</v>
      </c>
      <c r="N83" s="141" t="str">
        <f>IF(FN_MC!AM81="","*",FN_MC!AM81)</f>
        <v>ZTP-ZTO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B1" workbookViewId="0">
      <selection activeCell="E69" sqref="E69:E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1333</v>
      </c>
      <c r="W1" s="373"/>
      <c r="X1" s="373"/>
      <c r="Y1" s="104"/>
    </row>
    <row r="2" spans="1:25" s="100" customFormat="1" ht="11.25" customHeight="1">
      <c r="A2" s="105" t="s">
        <v>1334</v>
      </c>
      <c r="B2" s="105" t="s">
        <v>1329</v>
      </c>
      <c r="C2" s="105" t="s">
        <v>7</v>
      </c>
      <c r="D2" s="106" t="s">
        <v>1163</v>
      </c>
      <c r="E2" s="106" t="s">
        <v>1164</v>
      </c>
      <c r="F2" s="106" t="s">
        <v>1328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1335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IF(FN_MC!Y67="","*",FN_MC!Y67)</f>
        <v>*</v>
      </c>
      <c r="B65" s="109" t="str">
        <f>IF(FN_MC!X67="","*",FN_MC!X67)</f>
        <v>Contrato</v>
      </c>
      <c r="C65" s="109" t="str">
        <f>IF(FN_MC!Z67="","*",FN_MC!Z67)</f>
        <v>*</v>
      </c>
      <c r="D65" s="110" t="str">
        <f>IF(FN_MC!S67="","*",FN_MC!S67)</f>
        <v>FERRONORTE</v>
      </c>
      <c r="E65" s="110" t="str">
        <f>IF(FN_MC!T67="","*",FN_MC!T67)</f>
        <v>TGR-TRO</v>
      </c>
      <c r="F65" s="110">
        <f>IF(FN_MC!B67="","*",FN_MC!B67)</f>
        <v>46028</v>
      </c>
      <c r="G65" s="110" t="str">
        <f>IF(FN_MC!D67="","*",FN_MC!D67)</f>
        <v>W70</v>
      </c>
      <c r="H65" s="110" t="str">
        <f>IF(FN_MC!F67="","*",FN_MC!F67)</f>
        <v>PDM - PEDRA - DESCARGA</v>
      </c>
      <c r="I65" s="110" t="str">
        <f>IF(FN_MC!H67="","*",FN_MC!H67)</f>
        <v>TRO</v>
      </c>
      <c r="J65" s="110" t="str">
        <f>IF(FN_MC!I67="","*",FN_MC!I67)</f>
        <v>TGR2</v>
      </c>
      <c r="K65" s="110" t="str">
        <f>IF(FN_MC!M67="","*",FN_MC!M67)</f>
        <v>TSF-TEX</v>
      </c>
      <c r="L65" s="110">
        <f>IF(FN_MC!N67="","*",FN_MC!N67)</f>
        <v>732744</v>
      </c>
      <c r="M65" s="111">
        <f>IF(FN_MC!J67="","*",FN_MC!J67)</f>
        <v>98</v>
      </c>
      <c r="N65" s="296">
        <f>IF(FN_MC!K67="","*",FN_MC!K67)</f>
        <v>735</v>
      </c>
      <c r="O65" s="296">
        <f>IF(FN_MC!L67="","*",FN_MC!L67)</f>
        <v>732</v>
      </c>
      <c r="P65" s="111"/>
      <c r="Q65" s="128">
        <f>IF(FN_MC!O67="","*",FN_MC!O67)</f>
        <v>0.375</v>
      </c>
      <c r="R65" s="128">
        <f>IF(FN_MC!P67="","*",FN_MC!P67)</f>
        <v>0.16666666666666666</v>
      </c>
      <c r="S65" s="110" t="str">
        <f>IF(FN_MC!Q67="","*",CONCATENATE(FN_MC!Q67," ",FN_MC!R67))</f>
        <v>30 VAGÕES</v>
      </c>
      <c r="T65" s="110" t="str">
        <f>IF(FN_MC!V67="","*",FN_MC!V67)</f>
        <v>Heldo</v>
      </c>
      <c r="U65" s="110" t="str">
        <f>IF(FN_MC!W67="","*",FN_MC!W67)</f>
        <v>Descarga de pedra do km 735 ao 732 - retorna para TGR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30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V86</v>
      </c>
      <c r="H67" s="110" t="str">
        <f>IF(FN_MC!F69="","*",FN_MC!F69)</f>
        <v>DESLOCAMENTO</v>
      </c>
      <c r="I67" s="110" t="str">
        <f>IF(FN_MC!H69="","*",FN_MC!H69)</f>
        <v>TGR2</v>
      </c>
      <c r="J67" s="110" t="str">
        <f>IF(FN_MC!I69="","*",FN_MC!I69)</f>
        <v>TSF</v>
      </c>
      <c r="K67" s="110" t="str">
        <f>IF(FN_MC!M69="","*",FN_MC!M69)</f>
        <v>TGR-TBE</v>
      </c>
      <c r="L67" s="110" t="str">
        <f>IF(FN_MC!N69="","*",FN_MC!N69)</f>
        <v>TGRTSF</v>
      </c>
      <c r="M67" s="111">
        <f>IF(FN_MC!J69="","*",FN_MC!J69)</f>
        <v>98</v>
      </c>
      <c r="N67" s="296">
        <f>IF(FN_MC!K69="","*",FN_MC!K69)</f>
        <v>502</v>
      </c>
      <c r="O67" s="296">
        <f>IF(FN_MC!L69="","*",FN_MC!L69)</f>
        <v>720</v>
      </c>
      <c r="P67" s="111"/>
      <c r="Q67" s="128">
        <f>IF(FN_MC!O69="","*",FN_MC!O69)</f>
        <v>0.39583333333333331</v>
      </c>
      <c r="R67" s="128">
        <f>IF(FN_MC!P69="","*",FN_MC!P69)</f>
        <v>4.1666666666666664E-2</v>
      </c>
      <c r="S67" s="110" t="str">
        <f>IF(FN_MC!Q69="","*",CONCATENATE(FN_MC!Q69," ",FN_MC!R69))</f>
        <v>1 BINÁRIO</v>
      </c>
      <c r="T67" s="110" t="str">
        <f>IF(FN_MC!V69="","*",FN_MC!V69)</f>
        <v>Saulo</v>
      </c>
      <c r="U67" s="110" t="str">
        <f>IF(FN_MC!W69="","*",FN_MC!W69)</f>
        <v>Deslocamento TGR-TSF</v>
      </c>
      <c r="V67" s="112">
        <f ca="1">_xlfn.XLOOKUP(G67&amp;$V$2,BS_CONTROLE[CHAVE],BS_CONTROLE[Quantidade_11],"-")</f>
        <v>1723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1125</v>
      </c>
    </row>
    <row r="68" spans="1:24" s="113" customFormat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Silmara</v>
      </c>
      <c r="U68" s="110" t="str">
        <f>IF(FN_MC!W70="","*",FN_MC!W70)</f>
        <v>Ronda 7 dias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FERRONORTE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Silmara</v>
      </c>
      <c r="U69" s="110" t="str">
        <f>IF(FN_MC!W71="","*",FN_MC!W71)</f>
        <v>Execução de solda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IF(FN_MC!Y72="","*",FN_MC!Y72)</f>
        <v>*</v>
      </c>
      <c r="B70" s="109" t="str">
        <f>IF(FN_MC!X72="","*",FN_MC!X72)</f>
        <v>Contrato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PCM</v>
      </c>
      <c r="U70" s="110" t="str">
        <f>IF(FN_MC!W72="","*",FN_MC!W72)</f>
        <v>Descarga de trilho 68
12 barras - 74/246007-248007tg
8 barras - 74/248007-249266tg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Troca de dormente em ponte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IF(FN_MC!Y75="","*",FN_MC!Y75)</f>
        <v>*</v>
      </c>
      <c r="B73" s="109" t="str">
        <f>IF(FN_MC!X75="","*",FN_MC!X75)</f>
        <v>Oportunidade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Hebert</v>
      </c>
      <c r="U73" s="110" t="str">
        <f>IF(FN_MC!W75="","*",FN_MC!W75)</f>
        <v>Ronda 7 dias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0.375</v>
      </c>
      <c r="R75" s="128">
        <f>IF(FN_MC!P77="","*",FN_MC!P77)</f>
        <v>0.16666666666666666</v>
      </c>
      <c r="S75" s="110" t="str">
        <f>IF(FN_MC!Q77="","*",CONCATENATE(FN_MC!Q77," ",FN_MC!R77))</f>
        <v>500 Nº DE DORMENTES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Ana</v>
      </c>
      <c r="U77" s="110" t="str">
        <f>IF(FN_MC!W79="","*",FN_MC!W79)</f>
        <v>Socaria mecanizada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*</v>
      </c>
      <c r="D79" s="110" t="str">
        <f>IF(FN_MC!S81="","*",FN_MC!S81)</f>
        <v>MALHA CENTRAL</v>
      </c>
      <c r="E79" s="110" t="str">
        <f>IF(FN_MC!T81="","*",FN_MC!T81)</f>
        <v>RAMAL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ZTP</v>
      </c>
      <c r="J79" s="110" t="str">
        <f>IF(FN_MC!I81="","*",FN_MC!I81)</f>
        <v>ZTO</v>
      </c>
      <c r="K79" s="110" t="str">
        <f>IF(FN_MC!M81="","*",FN_MC!M81)</f>
        <v>ZTP-ZTO</v>
      </c>
      <c r="L79" s="110" t="str">
        <f>IF(FN_MC!N81="","*",FN_MC!N81)</f>
        <v>ZTPZTO</v>
      </c>
      <c r="M79" s="111">
        <f>IF(FN_MC!J81="","*",FN_MC!J81)</f>
        <v>78</v>
      </c>
      <c r="N79" s="296">
        <f>IF(FN_MC!K81="","*",FN_MC!K81)</f>
        <v>334</v>
      </c>
      <c r="O79" s="296">
        <f>IF(FN_MC!L81="","*",FN_MC!L81)</f>
        <v>7.5</v>
      </c>
      <c r="P79" s="111"/>
      <c r="Q79" s="128">
        <f>IF(FN_MC!O81="","*",FN_MC!O81)</f>
        <v>0.41666666666666669</v>
      </c>
      <c r="R79" s="128">
        <f>IF(FN_MC!P81="","*",FN_MC!P81)</f>
        <v>4.1666666666666664E-2</v>
      </c>
      <c r="S79" s="110" t="str">
        <f>IF(FN_MC!Q81="","*",CONCATENATE(FN_MC!Q81," ",FN_MC!R81))</f>
        <v>1 BINÁRIO</v>
      </c>
      <c r="T79" s="110" t="str">
        <f>IF(FN_MC!V81="","*",FN_MC!V81)</f>
        <v>PCM</v>
      </c>
      <c r="U79" s="110" t="str">
        <f>IF(FN_MC!W81="","*",FN_MC!W81)</f>
        <v>Deslocamento de ZTP para ZTO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1337</v>
      </c>
      <c r="C2" s="95" t="s">
        <v>1148</v>
      </c>
      <c r="D2" s="95" t="s">
        <v>1150</v>
      </c>
      <c r="E2" s="95" t="s">
        <v>1338</v>
      </c>
      <c r="F2" s="95" t="s">
        <v>1339</v>
      </c>
      <c r="G2" s="95" t="s">
        <v>1340</v>
      </c>
      <c r="H2" s="95" t="s">
        <v>1341</v>
      </c>
      <c r="I2" s="95" t="s">
        <v>1342</v>
      </c>
      <c r="J2" s="95" t="s">
        <v>1343</v>
      </c>
      <c r="K2" s="131" t="s">
        <v>1344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46028</v>
      </c>
      <c r="D65" s="121" t="str">
        <f>IF(FN_MC!D67="","*",FN_MC!D67)</f>
        <v>W70</v>
      </c>
      <c r="E65" s="121" t="str">
        <f>IF(FN_MC!H67="","*",FN_MC!H67)</f>
        <v>TRO</v>
      </c>
      <c r="F65" s="137" t="str">
        <f>IF(FN_MC!M67="","*",FN_MC!M67)</f>
        <v>TSF-TEX</v>
      </c>
      <c r="G65" s="121" t="str">
        <f>IF(FN_MC!I67="","*",FN_MC!I67)</f>
        <v>TGR2</v>
      </c>
      <c r="H65" s="121" t="str">
        <f>IF(FN_MC!AB67="","*",FN_MC!AB67)</f>
        <v>FIXO + ESCALA</v>
      </c>
      <c r="I65" s="121" t="str">
        <f>IF(FN_MC!AC67="","*",FN_MC!AC67)</f>
        <v>*</v>
      </c>
      <c r="J65" s="122" t="str">
        <f>IF(FN_MC!AA67="","*",FN_MC!AA67)</f>
        <v>2(Enio + Daniel) +2 escala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V86</v>
      </c>
      <c r="E67" s="121" t="str">
        <f>IF(FN_MC!H69="","*",FN_MC!H69)</f>
        <v>TGR2</v>
      </c>
      <c r="F67" s="137" t="str">
        <f>IF(FN_MC!M69="","*",FN_MC!M69)</f>
        <v>TGR-TBE</v>
      </c>
      <c r="G67" s="121" t="str">
        <f>IF(FN_MC!I69="","*",FN_MC!I69)</f>
        <v>TSF</v>
      </c>
      <c r="H67" s="121" t="str">
        <f>IF(FN_MC!AB69="","*",FN_MC!AB69)</f>
        <v>FIXO</v>
      </c>
      <c r="I67" s="121" t="str">
        <f>IF(FN_MC!AC69="","*",FN_MC!AC69)</f>
        <v>*</v>
      </c>
      <c r="J67" s="122">
        <f>IF(FN_MC!AA69="","*",FN_MC!AA69)</f>
        <v>1</v>
      </c>
      <c r="K67" s="134">
        <f>IF(FN_MC!AD69="","*",FN_MC!AD69)</f>
        <v>0.29166666666666669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FIXO</v>
      </c>
      <c r="I68" s="121" t="str">
        <f>IF(FN_MC!AC70="","*",FN_MC!AC70)</f>
        <v>*</v>
      </c>
      <c r="J68" s="122">
        <f>IF(FN_MC!AA70="","*",FN_MC!AA70)</f>
        <v>1</v>
      </c>
      <c r="K68" s="134">
        <f>IF(FN_MC!AD70="","*",FN_MC!AD70)</f>
        <v>0.29166666666666669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-</v>
      </c>
      <c r="I69" s="121" t="str">
        <f>IF(FN_MC!AC71="","*",FN_MC!AC71)</f>
        <v>*</v>
      </c>
      <c r="J69" s="122" t="str">
        <f>IF(FN_MC!AA71="","*",FN_MC!AA71)</f>
        <v>-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FIXO</v>
      </c>
      <c r="I70" s="121" t="str">
        <f>IF(FN_MC!AC72="","*",FN_MC!AC72)</f>
        <v>*</v>
      </c>
      <c r="J70" s="122" t="str">
        <f>IF(FN_MC!AA72="","*",FN_MC!AA72)</f>
        <v>2 (Eder e Anderson)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*</v>
      </c>
      <c r="J72" s="122" t="str">
        <f>IF(FN_MC!AA74="","*",FN_MC!AA74)</f>
        <v>-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FIXO</v>
      </c>
      <c r="I73" s="121" t="str">
        <f>IF(FN_MC!AC75="","*",FN_MC!AC75)</f>
        <v>*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>
        <f>IF(FN_MC!AD77="","*",FN_MC!AD77)</f>
        <v>0.29166666666666669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FIXO</v>
      </c>
      <c r="I77" s="121" t="str">
        <f>IF(FN_MC!AC79="","*",FN_MC!AC79)</f>
        <v>*</v>
      </c>
      <c r="J77" s="122">
        <f>IF(FN_MC!AA79="","*",FN_MC!AA79)</f>
        <v>1</v>
      </c>
      <c r="K77" s="134">
        <f>IF(FN_MC!AD79="","*",FN_MC!AD79)</f>
        <v>0.25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ZTP</v>
      </c>
      <c r="F79" s="137" t="str">
        <f>IF(FN_MC!M81="","*",FN_MC!M81)</f>
        <v>ZTP-ZTO</v>
      </c>
      <c r="G79" s="121" t="str">
        <f>IF(FN_MC!I81="","*",FN_MC!I81)</f>
        <v>ZTO</v>
      </c>
      <c r="H79" s="121" t="str">
        <f>IF(FN_MC!AB81="","*",FN_MC!AB81)</f>
        <v>FIXO + ESCALA</v>
      </c>
      <c r="I79" s="121" t="str">
        <f>IF(FN_MC!AC81="","*",FN_MC!AC81)</f>
        <v>*</v>
      </c>
      <c r="J79" s="122" t="str">
        <f>IF(FN_MC!AA81="","*",FN_MC!AA81)</f>
        <v>1 (Ricardo) + 2 escala ZIQ-ZTO</v>
      </c>
      <c r="K79" s="134">
        <f>IF(FN_MC!AD81="","*",FN_MC!AD81)</f>
        <v>0.83333333333333337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2026-01-05T17:59:37Z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